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1- مطالعه\QC\CLSI\EP15A3\Calculators\Tool Box\"/>
    </mc:Choice>
  </mc:AlternateContent>
  <xr:revisionPtr revIDLastSave="0" documentId="8_{9BC39770-01FD-4D97-8C31-D9EA65A99BF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Verification" sheetId="1" r:id="rId1"/>
    <sheet name="Outlier" sheetId="2" r:id="rId2"/>
    <sheet name="Abbrevations" sheetId="3" r:id="rId3"/>
    <sheet name="Example Data" sheetId="5" r:id="rId4"/>
  </sheets>
  <definedNames>
    <definedName name="_xlnm.Print_Area" localSheetId="0">Verification!$B$4:$R$21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5" i="1" l="1"/>
  <c r="U9" i="1"/>
  <c r="T9" i="1"/>
  <c r="T3" i="1"/>
  <c r="U17" i="1"/>
  <c r="T17" i="1"/>
  <c r="U15" i="1"/>
  <c r="T15" i="1"/>
  <c r="U13" i="1"/>
  <c r="T13" i="1"/>
  <c r="U7" i="1"/>
  <c r="T7" i="1"/>
  <c r="U5" i="1"/>
  <c r="T5" i="1"/>
  <c r="U3" i="1"/>
  <c r="R5" i="2" l="1"/>
  <c r="N9" i="1" l="1"/>
  <c r="K6" i="2" s="1"/>
  <c r="N8" i="1"/>
  <c r="K5" i="2" s="1"/>
  <c r="D25" i="1" l="1"/>
  <c r="D32" i="1" s="1"/>
  <c r="D34" i="1" s="1"/>
  <c r="D28" i="1"/>
  <c r="D39" i="1" s="1"/>
  <c r="D33" i="1"/>
  <c r="D37" i="1" s="1"/>
  <c r="D38" i="1"/>
  <c r="D29" i="1" l="1"/>
  <c r="G36" i="1" s="1"/>
  <c r="D35" i="1"/>
  <c r="AA32" i="1"/>
  <c r="AA31" i="1"/>
  <c r="AA30" i="1"/>
  <c r="N7" i="1" s="1"/>
  <c r="AA28" i="1"/>
  <c r="N4" i="1" l="1"/>
  <c r="AI20" i="1"/>
  <c r="AH20" i="1"/>
  <c r="AF20" i="1"/>
  <c r="AI19" i="1"/>
  <c r="AH19" i="1"/>
  <c r="T4" i="1"/>
  <c r="U6" i="1"/>
  <c r="T6" i="1"/>
  <c r="U4" i="1"/>
  <c r="U12" i="1"/>
  <c r="T12" i="1"/>
  <c r="G37" i="1"/>
  <c r="G40" i="1" s="1"/>
  <c r="D36" i="1"/>
  <c r="G39" i="1" s="1"/>
  <c r="T26" i="1"/>
  <c r="U26" i="1"/>
  <c r="AH14" i="1"/>
  <c r="AF19" i="1"/>
  <c r="AG20" i="1"/>
  <c r="AG19" i="1"/>
  <c r="AJ20" i="1"/>
  <c r="AJ19" i="1"/>
  <c r="AG17" i="1"/>
  <c r="AJ16" i="1"/>
  <c r="AF18" i="1"/>
  <c r="AI14" i="1"/>
  <c r="AF14" i="1"/>
  <c r="AF17" i="1"/>
  <c r="AG14" i="1"/>
  <c r="AI18" i="1"/>
  <c r="AJ15" i="1"/>
  <c r="AG18" i="1"/>
  <c r="AI15" i="1"/>
  <c r="AF15" i="1"/>
  <c r="AJ17" i="1"/>
  <c r="AI16" i="1"/>
  <c r="AG15" i="1"/>
  <c r="AJ18" i="1"/>
  <c r="AI17" i="1"/>
  <c r="AG16" i="1"/>
  <c r="AJ14" i="1"/>
  <c r="AF16" i="1"/>
  <c r="AH18" i="1"/>
  <c r="AH17" i="1"/>
  <c r="AH16" i="1"/>
  <c r="AH15" i="1"/>
  <c r="U8" i="1" l="1"/>
  <c r="T8" i="1"/>
  <c r="U16" i="1"/>
  <c r="T16" i="1"/>
  <c r="T18" i="1"/>
  <c r="U18" i="1"/>
  <c r="K4" i="2"/>
  <c r="U14" i="1"/>
  <c r="T14" i="1"/>
  <c r="G38" i="1"/>
  <c r="K36" i="1" s="1"/>
  <c r="AA33" i="1"/>
  <c r="R21" i="2"/>
  <c r="R20" i="2"/>
  <c r="K37" i="1" l="1"/>
  <c r="K38" i="1" s="1"/>
  <c r="S31" i="1"/>
  <c r="T31" i="1" s="1"/>
  <c r="S32" i="1"/>
  <c r="T32" i="1" s="1"/>
  <c r="S33" i="1"/>
  <c r="T33" i="1" s="1"/>
  <c r="S34" i="1"/>
  <c r="T34" i="1" s="1"/>
  <c r="S35" i="1"/>
  <c r="T35" i="1" s="1"/>
  <c r="S36" i="1"/>
  <c r="T36" i="1" s="1"/>
  <c r="S30" i="1"/>
  <c r="T30" i="1" s="1"/>
  <c r="R15" i="2" l="1"/>
  <c r="R14" i="2"/>
  <c r="R16" i="2" l="1"/>
  <c r="AA43" i="1" l="1"/>
  <c r="U30" i="1"/>
  <c r="W31" i="1"/>
  <c r="W32" i="1"/>
  <c r="W33" i="1"/>
  <c r="W34" i="1"/>
  <c r="W35" i="1"/>
  <c r="W36" i="1"/>
  <c r="W30" i="1"/>
  <c r="U31" i="1"/>
  <c r="V31" i="1" s="1"/>
  <c r="U32" i="1"/>
  <c r="U33" i="1"/>
  <c r="V33" i="1" s="1"/>
  <c r="U34" i="1"/>
  <c r="V34" i="1" s="1"/>
  <c r="U35" i="1"/>
  <c r="V35" i="1" s="1"/>
  <c r="U36" i="1"/>
  <c r="V36" i="1" s="1"/>
  <c r="Y31" i="1"/>
  <c r="Y32" i="1"/>
  <c r="Y33" i="1"/>
  <c r="Y34" i="1"/>
  <c r="Y35" i="1"/>
  <c r="Y36" i="1"/>
  <c r="Y30" i="1"/>
  <c r="U41" i="1" l="1"/>
  <c r="N6" i="1" s="1"/>
  <c r="U37" i="1"/>
  <c r="AA29" i="1"/>
  <c r="Y37" i="1"/>
  <c r="V30" i="1"/>
  <c r="V32" i="1"/>
  <c r="AA36" i="1"/>
  <c r="R8" i="2"/>
  <c r="U39" i="1"/>
  <c r="X30" i="1"/>
  <c r="X35" i="1"/>
  <c r="X32" i="1"/>
  <c r="X33" i="1"/>
  <c r="X31" i="1"/>
  <c r="X36" i="1"/>
  <c r="X34" i="1"/>
  <c r="N5" i="1" l="1"/>
  <c r="U25" i="1" s="1"/>
  <c r="AD43" i="1"/>
  <c r="AD51" i="1" s="1"/>
  <c r="AA37" i="1"/>
  <c r="AA38" i="1" s="1"/>
  <c r="X37" i="1"/>
  <c r="AA34" i="1" s="1"/>
  <c r="V37" i="1"/>
  <c r="AA41" i="1" s="1"/>
  <c r="R9" i="2"/>
  <c r="R10" i="2"/>
  <c r="G8" i="1" l="1"/>
  <c r="AD52" i="1"/>
  <c r="J5" i="1" s="1"/>
  <c r="AA39" i="1"/>
  <c r="AA51" i="1"/>
  <c r="R11" i="2"/>
  <c r="AA52" i="1"/>
  <c r="AA35" i="1"/>
  <c r="AA40" i="1" s="1"/>
  <c r="AA46" i="1" l="1"/>
  <c r="AA45" i="1"/>
  <c r="AA47" i="1" s="1"/>
  <c r="H5" i="1" s="1"/>
  <c r="R12" i="2"/>
  <c r="AA55" i="1"/>
  <c r="AA53" i="1"/>
  <c r="AA54" i="1"/>
  <c r="AA56" i="1" l="1"/>
  <c r="AD54" i="1" s="1"/>
  <c r="AD55" i="1" s="1"/>
  <c r="AA48" i="1"/>
  <c r="H7" i="1" s="1"/>
  <c r="AD47" i="1"/>
  <c r="I5" i="1" s="1"/>
  <c r="K5" i="1" s="1"/>
  <c r="AA49" i="1"/>
  <c r="H6" i="1" s="1"/>
  <c r="R17" i="2"/>
  <c r="AD49" i="1" l="1"/>
  <c r="I6" i="1" s="1"/>
  <c r="AD48" i="1"/>
  <c r="I7" i="1" s="1"/>
  <c r="AA42" i="1"/>
  <c r="AA44" i="1" s="1"/>
  <c r="R18" i="2"/>
  <c r="R19" i="2"/>
  <c r="N6" i="2" s="1"/>
  <c r="J6" i="1" l="1"/>
  <c r="K6" i="1" s="1"/>
  <c r="D4" i="2"/>
  <c r="N5" i="2"/>
  <c r="E9" i="2"/>
  <c r="E10" i="2"/>
  <c r="D9" i="2"/>
  <c r="F9" i="2"/>
  <c r="F10" i="2"/>
  <c r="D10" i="2"/>
  <c r="G9" i="2"/>
  <c r="G10" i="2"/>
  <c r="H9" i="2"/>
  <c r="H10" i="2"/>
  <c r="F4" i="2"/>
  <c r="G4" i="2"/>
  <c r="G5" i="2"/>
  <c r="G6" i="2"/>
  <c r="G7" i="2"/>
  <c r="G8" i="2"/>
  <c r="D7" i="2"/>
  <c r="H4" i="2"/>
  <c r="H5" i="2"/>
  <c r="H6" i="2"/>
  <c r="H7" i="2"/>
  <c r="H8" i="2"/>
  <c r="D8" i="2"/>
  <c r="E4" i="2"/>
  <c r="E5" i="2"/>
  <c r="E6" i="2"/>
  <c r="E7" i="2"/>
  <c r="E8" i="2"/>
  <c r="D5" i="2"/>
  <c r="F5" i="2"/>
  <c r="F6" i="2"/>
  <c r="F7" i="2"/>
  <c r="F8" i="2"/>
  <c r="D6" i="2"/>
  <c r="B1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Roja</author>
  </authors>
  <commentList>
    <comment ref="T2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For drowing average line on the graph</t>
        </r>
      </text>
    </comment>
    <comment ref="C2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the claims ratio, σWL / σR</t>
        </r>
      </text>
    </comment>
    <comment ref="C28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number of runs</t>
        </r>
      </text>
    </comment>
    <comment ref="Z28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Total number of data</t>
        </r>
      </text>
    </comment>
    <comment ref="C29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intended number of repeats per run</t>
        </r>
      </text>
    </comment>
    <comment ref="Z29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The number of distinct runs</t>
        </r>
      </text>
    </comment>
    <comment ref="Z30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Grand Mean</t>
        </r>
      </text>
    </comment>
    <comment ref="Y37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k, Number of runs</t>
        </r>
      </text>
    </comment>
    <comment ref="U4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n: intended number of replicates per run</t>
        </r>
      </text>
    </comment>
    <comment ref="Z43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Confidence Interval</t>
        </r>
      </text>
    </comment>
    <comment ref="Z44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Upper Verification Limit Factor</t>
        </r>
      </text>
    </comment>
    <comment ref="Z50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Appendix B</t>
        </r>
      </text>
    </comment>
    <comment ref="AC5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Chi(0.05/Nsam,dfR)</t>
        </r>
      </text>
    </comment>
  </commentList>
</comments>
</file>

<file path=xl/sharedStrings.xml><?xml version="1.0" encoding="utf-8"?>
<sst xmlns="http://schemas.openxmlformats.org/spreadsheetml/2006/main" count="209" uniqueCount="128">
  <si>
    <t>N</t>
  </si>
  <si>
    <t>k</t>
  </si>
  <si>
    <t>for k</t>
  </si>
  <si>
    <t>Mean</t>
  </si>
  <si>
    <t>DM2</t>
  </si>
  <si>
    <t>n</t>
  </si>
  <si>
    <t></t>
  </si>
  <si>
    <t>DM2.n</t>
  </si>
  <si>
    <t>SS1</t>
  </si>
  <si>
    <t>Between</t>
  </si>
  <si>
    <r>
      <t>SS</t>
    </r>
    <r>
      <rPr>
        <vertAlign val="subscript"/>
        <sz val="11"/>
        <color theme="1"/>
        <rFont val="Arial"/>
        <family val="2"/>
        <scheme val="minor"/>
      </rPr>
      <t>total</t>
    </r>
  </si>
  <si>
    <t>SS2</t>
  </si>
  <si>
    <r>
      <t>DF</t>
    </r>
    <r>
      <rPr>
        <vertAlign val="subscript"/>
        <sz val="11"/>
        <color theme="1"/>
        <rFont val="Arial"/>
        <family val="2"/>
        <scheme val="minor"/>
      </rPr>
      <t>total</t>
    </r>
  </si>
  <si>
    <t>DF1</t>
  </si>
  <si>
    <t>DF2</t>
  </si>
  <si>
    <t>MS1</t>
  </si>
  <si>
    <t>MS2</t>
  </si>
  <si>
    <t>n2</t>
  </si>
  <si>
    <t>SN2</t>
  </si>
  <si>
    <t>n0</t>
  </si>
  <si>
    <t>avg.n</t>
  </si>
  <si>
    <t>var.m</t>
  </si>
  <si>
    <t>dfWL</t>
  </si>
  <si>
    <t>a1</t>
  </si>
  <si>
    <t>a2</t>
  </si>
  <si>
    <t>num</t>
  </si>
  <si>
    <t>den1</t>
  </si>
  <si>
    <t>den2</t>
  </si>
  <si>
    <r>
      <t>df</t>
    </r>
    <r>
      <rPr>
        <vertAlign val="subscript"/>
        <sz val="11"/>
        <color theme="1"/>
        <rFont val="Arial"/>
        <family val="2"/>
        <scheme val="minor"/>
      </rPr>
      <t>WL</t>
    </r>
  </si>
  <si>
    <t>CI</t>
  </si>
  <si>
    <t>F</t>
  </si>
  <si>
    <t>alpha</t>
  </si>
  <si>
    <t>size</t>
  </si>
  <si>
    <t>significance value</t>
  </si>
  <si>
    <t>df</t>
  </si>
  <si>
    <t>t-crit</t>
  </si>
  <si>
    <t>G-crit</t>
  </si>
  <si>
    <t>SD</t>
  </si>
  <si>
    <t>%CV</t>
  </si>
  <si>
    <t>Low</t>
  </si>
  <si>
    <t>UP</t>
  </si>
  <si>
    <r>
      <t>V</t>
    </r>
    <r>
      <rPr>
        <vertAlign val="subscript"/>
        <sz val="11"/>
        <color theme="1"/>
        <rFont val="Arial"/>
        <family val="2"/>
        <scheme val="minor"/>
      </rPr>
      <t>W</t>
    </r>
  </si>
  <si>
    <r>
      <t>V</t>
    </r>
    <r>
      <rPr>
        <vertAlign val="subscript"/>
        <sz val="11"/>
        <color theme="1"/>
        <rFont val="Arial"/>
        <family val="2"/>
        <scheme val="minor"/>
      </rPr>
      <t>B</t>
    </r>
  </si>
  <si>
    <r>
      <t>S</t>
    </r>
    <r>
      <rPr>
        <vertAlign val="subscript"/>
        <sz val="11"/>
        <color theme="1"/>
        <rFont val="Arial"/>
        <family val="2"/>
        <scheme val="minor"/>
      </rPr>
      <t>R</t>
    </r>
  </si>
  <si>
    <r>
      <t>S</t>
    </r>
    <r>
      <rPr>
        <vertAlign val="subscript"/>
        <sz val="11"/>
        <color theme="1"/>
        <rFont val="Arial"/>
        <family val="2"/>
        <scheme val="minor"/>
      </rPr>
      <t>B</t>
    </r>
  </si>
  <si>
    <r>
      <t>S</t>
    </r>
    <r>
      <rPr>
        <vertAlign val="subscript"/>
        <sz val="11"/>
        <color theme="1"/>
        <rFont val="Arial"/>
        <family val="2"/>
        <scheme val="minor"/>
      </rPr>
      <t>WL</t>
    </r>
  </si>
  <si>
    <r>
      <t>%CV</t>
    </r>
    <r>
      <rPr>
        <vertAlign val="subscript"/>
        <sz val="11"/>
        <color theme="1"/>
        <rFont val="Arial"/>
        <family val="2"/>
        <scheme val="minor"/>
      </rPr>
      <t>R</t>
    </r>
  </si>
  <si>
    <r>
      <t>%CV</t>
    </r>
    <r>
      <rPr>
        <vertAlign val="subscript"/>
        <sz val="11"/>
        <color theme="1"/>
        <rFont val="Arial"/>
        <family val="2"/>
        <scheme val="minor"/>
      </rPr>
      <t>B</t>
    </r>
  </si>
  <si>
    <r>
      <t>%CV</t>
    </r>
    <r>
      <rPr>
        <vertAlign val="subscript"/>
        <sz val="11"/>
        <color theme="1"/>
        <rFont val="Arial"/>
        <family val="2"/>
        <scheme val="minor"/>
      </rPr>
      <t>WL</t>
    </r>
  </si>
  <si>
    <r>
      <t>df</t>
    </r>
    <r>
      <rPr>
        <vertAlign val="subscript"/>
        <sz val="11"/>
        <color theme="1"/>
        <rFont val="Arial"/>
        <family val="2"/>
        <scheme val="minor"/>
      </rPr>
      <t>R</t>
    </r>
  </si>
  <si>
    <t>C</t>
  </si>
  <si>
    <t>VAR</t>
  </si>
  <si>
    <t>C-R</t>
  </si>
  <si>
    <t>VF-WL</t>
  </si>
  <si>
    <t>C-WL</t>
  </si>
  <si>
    <t>%CV-R</t>
  </si>
  <si>
    <t>V-W</t>
  </si>
  <si>
    <t>V-WL</t>
  </si>
  <si>
    <t>V-B</t>
  </si>
  <si>
    <t>%CV-WL</t>
  </si>
  <si>
    <t>DF-WL</t>
  </si>
  <si>
    <t>Min</t>
  </si>
  <si>
    <t>Max</t>
  </si>
  <si>
    <t>F-R</t>
  </si>
  <si>
    <t>ρ (the claims ratio, σWL / σR</t>
  </si>
  <si>
    <t>ρ</t>
  </si>
  <si>
    <t>Rep 1</t>
  </si>
  <si>
    <t>Rep 2</t>
  </si>
  <si>
    <t>Rep 3</t>
  </si>
  <si>
    <t>Rep 4</t>
  </si>
  <si>
    <t>Rep 5</t>
  </si>
  <si>
    <t>UVL</t>
  </si>
  <si>
    <t>Status</t>
  </si>
  <si>
    <r>
      <t>σ</t>
    </r>
    <r>
      <rPr>
        <b/>
        <vertAlign val="subscript"/>
        <sz val="14"/>
        <color theme="1"/>
        <rFont val="Calibri"/>
        <family val="2"/>
      </rPr>
      <t xml:space="preserve">R </t>
    </r>
    <r>
      <rPr>
        <b/>
        <sz val="14"/>
        <color theme="1"/>
        <rFont val="Calibri"/>
        <family val="2"/>
      </rPr>
      <t>(%CV)</t>
    </r>
  </si>
  <si>
    <r>
      <t>S</t>
    </r>
    <r>
      <rPr>
        <vertAlign val="subscript"/>
        <sz val="14"/>
        <color theme="1"/>
        <rFont val="Arial"/>
        <family val="2"/>
        <scheme val="minor"/>
      </rPr>
      <t>R</t>
    </r>
  </si>
  <si>
    <r>
      <t>S</t>
    </r>
    <r>
      <rPr>
        <vertAlign val="subscript"/>
        <sz val="14"/>
        <color theme="1"/>
        <rFont val="Arial"/>
        <family val="2"/>
        <scheme val="minor"/>
      </rPr>
      <t>WL</t>
    </r>
  </si>
  <si>
    <r>
      <t>S</t>
    </r>
    <r>
      <rPr>
        <vertAlign val="subscript"/>
        <sz val="14"/>
        <color theme="1"/>
        <rFont val="Arial"/>
        <family val="2"/>
        <scheme val="minor"/>
      </rPr>
      <t>B</t>
    </r>
  </si>
  <si>
    <t>Grubbs test</t>
  </si>
  <si>
    <t>High</t>
  </si>
  <si>
    <t>Digit</t>
  </si>
  <si>
    <t>Outlier Limits</t>
  </si>
  <si>
    <t>nRun</t>
  </si>
  <si>
    <t>nRep</t>
  </si>
  <si>
    <t>Run 1</t>
  </si>
  <si>
    <t>Run 2</t>
  </si>
  <si>
    <t>Run 3</t>
  </si>
  <si>
    <t>Run 4</t>
  </si>
  <si>
    <t>Run 5</t>
  </si>
  <si>
    <t>Run 6</t>
  </si>
  <si>
    <t>Run 7</t>
  </si>
  <si>
    <r>
      <t>σ</t>
    </r>
    <r>
      <rPr>
        <b/>
        <vertAlign val="subscript"/>
        <sz val="14"/>
        <color theme="1"/>
        <rFont val="Calibri"/>
        <family val="2"/>
      </rPr>
      <t xml:space="preserve">WL </t>
    </r>
    <r>
      <rPr>
        <b/>
        <sz val="14"/>
        <color theme="1"/>
        <rFont val="Calibri"/>
        <family val="2"/>
      </rPr>
      <t>(%CV)</t>
    </r>
  </si>
  <si>
    <r>
      <rPr>
        <b/>
        <sz val="14"/>
        <color theme="1"/>
        <rFont val="Arial"/>
        <family val="2"/>
        <scheme val="minor"/>
      </rPr>
      <t>nRun:</t>
    </r>
    <r>
      <rPr>
        <sz val="14"/>
        <color theme="1"/>
        <rFont val="Arial"/>
        <family val="2"/>
        <scheme val="minor"/>
      </rPr>
      <t xml:space="preserve"> Number of runs</t>
    </r>
  </si>
  <si>
    <r>
      <rPr>
        <b/>
        <sz val="14"/>
        <color theme="1"/>
        <rFont val="Arial"/>
        <family val="2"/>
        <scheme val="minor"/>
      </rPr>
      <t>nSam:</t>
    </r>
    <r>
      <rPr>
        <sz val="14"/>
        <color theme="1"/>
        <rFont val="Arial"/>
        <family val="2"/>
        <scheme val="minor"/>
      </rPr>
      <t xml:space="preserve"> Number of samples</t>
    </r>
  </si>
  <si>
    <r>
      <rPr>
        <b/>
        <sz val="14"/>
        <color theme="1"/>
        <rFont val="Arial"/>
        <family val="2"/>
        <scheme val="minor"/>
      </rPr>
      <t xml:space="preserve">nRep: </t>
    </r>
    <r>
      <rPr>
        <sz val="14"/>
        <color theme="1"/>
        <rFont val="Arial"/>
        <family val="2"/>
        <scheme val="minor"/>
      </rPr>
      <t>Number of replicates per run</t>
    </r>
  </si>
  <si>
    <r>
      <rPr>
        <b/>
        <sz val="14"/>
        <color theme="1"/>
        <rFont val="Arial"/>
        <family val="2"/>
        <scheme val="minor"/>
      </rPr>
      <t>σ</t>
    </r>
    <r>
      <rPr>
        <b/>
        <vertAlign val="subscript"/>
        <sz val="14"/>
        <color theme="1"/>
        <rFont val="Arial"/>
        <family val="2"/>
        <scheme val="minor"/>
      </rPr>
      <t>WL</t>
    </r>
    <r>
      <rPr>
        <b/>
        <sz val="14"/>
        <color theme="1"/>
        <rFont val="Arial"/>
        <family val="2"/>
        <scheme val="minor"/>
      </rPr>
      <t>:</t>
    </r>
    <r>
      <rPr>
        <sz val="14"/>
        <color theme="1"/>
        <rFont val="Arial"/>
        <family val="2"/>
        <scheme val="minor"/>
      </rPr>
      <t xml:space="preserve"> Manufacturer's claim for within lab imprecision</t>
    </r>
  </si>
  <si>
    <r>
      <rPr>
        <b/>
        <sz val="14"/>
        <color theme="1"/>
        <rFont val="Arial"/>
        <family val="2"/>
        <scheme val="minor"/>
      </rPr>
      <t xml:space="preserve"> σ</t>
    </r>
    <r>
      <rPr>
        <b/>
        <vertAlign val="subscript"/>
        <sz val="14"/>
        <color theme="1"/>
        <rFont val="Arial"/>
        <family val="2"/>
        <scheme val="minor"/>
      </rPr>
      <t>R</t>
    </r>
    <r>
      <rPr>
        <b/>
        <sz val="14"/>
        <color theme="1"/>
        <rFont val="Arial"/>
        <family val="2"/>
        <scheme val="minor"/>
      </rPr>
      <t xml:space="preserve">: </t>
    </r>
    <r>
      <rPr>
        <sz val="14"/>
        <color theme="1"/>
        <rFont val="Arial"/>
        <family val="2"/>
        <scheme val="minor"/>
      </rPr>
      <t>Manufacturer's claim for repeatability</t>
    </r>
  </si>
  <si>
    <r>
      <rPr>
        <b/>
        <sz val="14"/>
        <color theme="1"/>
        <rFont val="Arial"/>
        <family val="2"/>
        <scheme val="minor"/>
      </rPr>
      <t>s</t>
    </r>
    <r>
      <rPr>
        <b/>
        <vertAlign val="subscript"/>
        <sz val="14"/>
        <color theme="1"/>
        <rFont val="Arial"/>
        <family val="2"/>
        <scheme val="minor"/>
      </rPr>
      <t>R</t>
    </r>
    <r>
      <rPr>
        <b/>
        <sz val="14"/>
        <color theme="1"/>
        <rFont val="Arial"/>
        <family val="2"/>
        <scheme val="minor"/>
      </rPr>
      <t>:</t>
    </r>
    <r>
      <rPr>
        <sz val="14"/>
        <color theme="1"/>
        <rFont val="Arial"/>
        <family val="2"/>
        <scheme val="minor"/>
      </rPr>
      <t xml:space="preserve"> Lab estimate for repeatability</t>
    </r>
  </si>
  <si>
    <r>
      <rPr>
        <b/>
        <sz val="14"/>
        <color theme="1"/>
        <rFont val="Arial"/>
        <family val="2"/>
        <scheme val="minor"/>
      </rPr>
      <t>s</t>
    </r>
    <r>
      <rPr>
        <b/>
        <vertAlign val="subscript"/>
        <sz val="14"/>
        <color theme="1"/>
        <rFont val="Arial"/>
        <family val="2"/>
        <scheme val="minor"/>
      </rPr>
      <t>WL</t>
    </r>
    <r>
      <rPr>
        <b/>
        <sz val="14"/>
        <color theme="1"/>
        <rFont val="Arial"/>
        <family val="2"/>
        <scheme val="minor"/>
      </rPr>
      <t>:</t>
    </r>
    <r>
      <rPr>
        <sz val="14"/>
        <color theme="1"/>
        <rFont val="Arial"/>
        <family val="2"/>
        <scheme val="minor"/>
      </rPr>
      <t xml:space="preserve"> Lab estimate for within lab imprecision</t>
    </r>
  </si>
  <si>
    <r>
      <rPr>
        <b/>
        <sz val="14"/>
        <color theme="1"/>
        <rFont val="Arial"/>
        <family val="2"/>
        <scheme val="minor"/>
      </rPr>
      <t>s</t>
    </r>
    <r>
      <rPr>
        <b/>
        <vertAlign val="subscript"/>
        <sz val="14"/>
        <color theme="1"/>
        <rFont val="Arial"/>
        <family val="2"/>
        <scheme val="minor"/>
      </rPr>
      <t>B</t>
    </r>
    <r>
      <rPr>
        <b/>
        <sz val="14"/>
        <color theme="1"/>
        <rFont val="Arial"/>
        <family val="2"/>
        <scheme val="minor"/>
      </rPr>
      <t>:</t>
    </r>
    <r>
      <rPr>
        <sz val="14"/>
        <color theme="1"/>
        <rFont val="Arial"/>
        <family val="2"/>
        <scheme val="minor"/>
      </rPr>
      <t xml:space="preserve"> Lab estimate for between run imprecision</t>
    </r>
  </si>
  <si>
    <r>
      <rPr>
        <b/>
        <sz val="14"/>
        <color theme="1"/>
        <rFont val="Arial"/>
        <family val="2"/>
        <scheme val="minor"/>
      </rPr>
      <t>UVL:</t>
    </r>
    <r>
      <rPr>
        <sz val="14"/>
        <color theme="1"/>
        <rFont val="Arial"/>
        <family val="2"/>
        <scheme val="minor"/>
      </rPr>
      <t xml:space="preserve"> Upper Verification Limit</t>
    </r>
  </si>
  <si>
    <r>
      <rPr>
        <b/>
        <sz val="14"/>
        <color theme="1"/>
        <rFont val="Arial"/>
        <family val="2"/>
        <scheme val="minor"/>
      </rPr>
      <t xml:space="preserve">N: </t>
    </r>
    <r>
      <rPr>
        <sz val="14"/>
        <color theme="1"/>
        <rFont val="Arial"/>
        <family val="2"/>
        <scheme val="minor"/>
      </rPr>
      <t>Total number of results</t>
    </r>
  </si>
  <si>
    <t>Level</t>
  </si>
  <si>
    <r>
      <rPr>
        <b/>
        <sz val="14"/>
        <color theme="1"/>
        <rFont val="Arial"/>
        <family val="2"/>
        <scheme val="minor"/>
      </rPr>
      <t>Level:</t>
    </r>
    <r>
      <rPr>
        <sz val="14"/>
        <color theme="1"/>
        <rFont val="Arial"/>
        <family val="2"/>
        <scheme val="minor"/>
      </rPr>
      <t xml:space="preserve"> The concentration in the manufacturer's study</t>
    </r>
  </si>
  <si>
    <r>
      <rPr>
        <b/>
        <sz val="11"/>
        <color theme="1"/>
        <rFont val="Calibri"/>
        <family val="2"/>
      </rPr>
      <t>Mean:</t>
    </r>
    <r>
      <rPr>
        <sz val="11"/>
        <color theme="1"/>
        <rFont val="Calibri"/>
        <family val="2"/>
      </rPr>
      <t xml:space="preserve"> Average of all the results</t>
    </r>
  </si>
  <si>
    <r>
      <rPr>
        <b/>
        <sz val="11"/>
        <color theme="1"/>
        <rFont val="Calibri"/>
        <family val="2"/>
      </rPr>
      <t xml:space="preserve">Min: </t>
    </r>
    <r>
      <rPr>
        <sz val="11"/>
        <color theme="1"/>
        <rFont val="Calibri"/>
        <family val="2"/>
      </rPr>
      <t>The smallest result</t>
    </r>
  </si>
  <si>
    <r>
      <rPr>
        <b/>
        <sz val="11"/>
        <color theme="1"/>
        <rFont val="Calibri"/>
        <family val="2"/>
      </rPr>
      <t>Max:</t>
    </r>
    <r>
      <rPr>
        <sz val="11"/>
        <color theme="1"/>
        <rFont val="Calibri"/>
        <family val="2"/>
      </rPr>
      <t xml:space="preserve"> The largest result</t>
    </r>
  </si>
  <si>
    <t>Hassan Bayat. Sina Medical Lab (Qaem Shahr, Iran). January 2020</t>
  </si>
  <si>
    <t>Note!</t>
  </si>
  <si>
    <t>Drawing average for runs</t>
  </si>
  <si>
    <r>
      <t>%CV</t>
    </r>
    <r>
      <rPr>
        <b/>
        <vertAlign val="subscript"/>
        <sz val="14"/>
        <color theme="1"/>
        <rFont val="Calibri"/>
        <family val="2"/>
      </rPr>
      <t>a</t>
    </r>
  </si>
  <si>
    <r>
      <rPr>
        <b/>
        <sz val="14"/>
        <color theme="1"/>
        <rFont val="Arial"/>
        <family val="2"/>
        <scheme val="minor"/>
      </rPr>
      <t>%CVa:</t>
    </r>
    <r>
      <rPr>
        <sz val="14"/>
        <color theme="1"/>
        <rFont val="Arial"/>
        <family val="2"/>
        <scheme val="minor"/>
      </rPr>
      <t xml:space="preserve"> Allowable CV</t>
    </r>
  </si>
  <si>
    <t xml:space="preserve"> Verification of Imprecisin</t>
  </si>
  <si>
    <t>Decimal</t>
  </si>
  <si>
    <t>nSam</t>
  </si>
  <si>
    <r>
      <rPr>
        <b/>
        <sz val="14"/>
        <color theme="1"/>
        <rFont val="Arial"/>
        <family val="2"/>
        <scheme val="minor"/>
      </rPr>
      <t xml:space="preserve">Decimal: </t>
    </r>
    <r>
      <rPr>
        <sz val="14"/>
        <color theme="1"/>
        <rFont val="Arial"/>
        <family val="2"/>
        <scheme val="minor"/>
      </rPr>
      <t>Number of Decimal places for rounding the calculations</t>
    </r>
  </si>
  <si>
    <t>ABBREVATIONA</t>
  </si>
  <si>
    <r>
      <rPr>
        <b/>
        <sz val="11"/>
        <color theme="1"/>
        <rFont val="Calibri"/>
        <family val="2"/>
      </rPr>
      <t xml:space="preserve">● </t>
    </r>
    <r>
      <rPr>
        <b/>
        <i/>
        <sz val="11"/>
        <color theme="1"/>
        <rFont val="Arial"/>
        <family val="2"/>
      </rPr>
      <t>Only one result may be deleted from a sample.</t>
    </r>
  </si>
  <si>
    <t>● Toatly, two results may be deleted from all samples</t>
  </si>
  <si>
    <t>Claims</t>
  </si>
  <si>
    <t>Sample 1</t>
  </si>
  <si>
    <t>Sample 2</t>
  </si>
  <si>
    <t>Sample 3</t>
  </si>
  <si>
    <t>Example Data</t>
  </si>
  <si>
    <t>List for data entry into E7 and E8</t>
  </si>
  <si>
    <r>
      <t>σ</t>
    </r>
    <r>
      <rPr>
        <b/>
        <vertAlign val="subscript"/>
        <sz val="11"/>
        <color theme="1"/>
        <rFont val="Calibri"/>
        <family val="2"/>
      </rPr>
      <t xml:space="preserve">R </t>
    </r>
    <r>
      <rPr>
        <b/>
        <sz val="11"/>
        <color theme="1"/>
        <rFont val="Calibri"/>
        <family val="2"/>
      </rPr>
      <t>(%CV)</t>
    </r>
  </si>
  <si>
    <r>
      <t>σ</t>
    </r>
    <r>
      <rPr>
        <b/>
        <vertAlign val="subscript"/>
        <sz val="11"/>
        <color theme="1"/>
        <rFont val="Calibri"/>
        <family val="2"/>
      </rPr>
      <t xml:space="preserve">WL </t>
    </r>
    <r>
      <rPr>
        <b/>
        <sz val="11"/>
        <color theme="1"/>
        <rFont val="Calibri"/>
        <family val="2"/>
      </rPr>
      <t>(%CV)</t>
    </r>
  </si>
  <si>
    <t>EP 15-A3 (Ed4)</t>
  </si>
  <si>
    <t>Estimates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</si>
</sst>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36" x14ac:knownFonts="1">
    <font>
      <sz val="11"/>
      <color theme="1"/>
      <name val="Arial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MS Reference Sans Serif"/>
      <family val="2"/>
    </font>
    <font>
      <sz val="11"/>
      <color theme="1"/>
      <name val="Calibri"/>
      <family val="2"/>
    </font>
    <font>
      <vertAlign val="subscript"/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6"/>
      <color theme="1"/>
      <name val="Calibri"/>
      <family val="2"/>
    </font>
    <font>
      <b/>
      <sz val="14"/>
      <color theme="1"/>
      <name val="Arial"/>
      <family val="2"/>
      <scheme val="minor"/>
    </font>
    <font>
      <b/>
      <sz val="14"/>
      <color theme="0"/>
      <name val="Arial"/>
      <family val="2"/>
      <scheme val="minor"/>
    </font>
    <font>
      <b/>
      <sz val="18"/>
      <color theme="1"/>
      <name val="Arial"/>
      <family val="2"/>
    </font>
    <font>
      <b/>
      <sz val="14"/>
      <color theme="1"/>
      <name val="Calibri"/>
      <family val="2"/>
    </font>
    <font>
      <b/>
      <vertAlign val="subscript"/>
      <sz val="14"/>
      <color theme="1"/>
      <name val="Calibri"/>
      <family val="2"/>
    </font>
    <font>
      <sz val="14"/>
      <color theme="1"/>
      <name val="Calibri"/>
      <family val="2"/>
    </font>
    <font>
      <vertAlign val="subscript"/>
      <sz val="14"/>
      <color theme="1"/>
      <name val="Arial"/>
      <family val="2"/>
      <scheme val="minor"/>
    </font>
    <font>
      <b/>
      <sz val="20"/>
      <color theme="1"/>
      <name val="Arial"/>
      <family val="2"/>
      <scheme val="minor"/>
    </font>
    <font>
      <b/>
      <sz val="14"/>
      <color theme="1"/>
      <name val="Arial"/>
      <family val="2"/>
    </font>
    <font>
      <b/>
      <i/>
      <sz val="14"/>
      <color rgb="FFFF0000"/>
      <name val="Arial"/>
      <family val="2"/>
      <scheme val="minor"/>
    </font>
    <font>
      <b/>
      <i/>
      <sz val="16"/>
      <color rgb="FFFF0000"/>
      <name val="Calibri"/>
      <family val="2"/>
    </font>
    <font>
      <b/>
      <vertAlign val="subscript"/>
      <sz val="14"/>
      <color theme="1"/>
      <name val="Arial"/>
      <family val="2"/>
      <scheme val="minor"/>
    </font>
    <font>
      <b/>
      <sz val="11"/>
      <color theme="1"/>
      <name val="Calibri"/>
      <family val="2"/>
    </font>
    <font>
      <b/>
      <i/>
      <sz val="12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theme="1"/>
      <name val="Arial"/>
      <family val="2"/>
      <scheme val="minor"/>
    </font>
    <font>
      <b/>
      <sz val="22"/>
      <color theme="1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i/>
      <sz val="14"/>
      <color theme="1"/>
      <name val="Calibri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4"/>
      <color rgb="FFFF0000"/>
      <name val="Arial"/>
      <family val="2"/>
      <scheme val="minor"/>
    </font>
    <font>
      <b/>
      <sz val="16"/>
      <color rgb="FFFF0000"/>
      <name val="Arial"/>
      <family val="2"/>
      <scheme val="minor"/>
    </font>
    <font>
      <b/>
      <vertAlign val="subscript"/>
      <sz val="11"/>
      <color theme="1"/>
      <name val="Calibri"/>
      <family val="2"/>
    </font>
    <font>
      <b/>
      <sz val="18"/>
      <color rgb="FFFF0000"/>
      <name val="Arial"/>
      <family val="2"/>
      <scheme val="minor"/>
    </font>
    <font>
      <b/>
      <i/>
      <sz val="14"/>
      <color rgb="FF007635"/>
      <name val="Arial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2" fontId="0" fillId="0" borderId="0" xfId="0" applyNumberFormat="1"/>
    <xf numFmtId="0" fontId="3" fillId="0" borderId="0" xfId="0" applyFont="1"/>
    <xf numFmtId="0" fontId="0" fillId="2" borderId="1" xfId="0" applyFill="1" applyBorder="1" applyAlignment="1">
      <alignment horizontal="center" vertic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1" xfId="0" applyFill="1" applyBorder="1"/>
    <xf numFmtId="0" fontId="0" fillId="3" borderId="0" xfId="0" applyFill="1" applyBorder="1"/>
    <xf numFmtId="0" fontId="0" fillId="4" borderId="0" xfId="0" applyFill="1"/>
    <xf numFmtId="0" fontId="0" fillId="0" borderId="0" xfId="0" applyBorder="1"/>
    <xf numFmtId="0" fontId="0" fillId="2" borderId="1" xfId="0" applyFill="1" applyBorder="1"/>
    <xf numFmtId="0" fontId="0" fillId="5" borderId="1" xfId="0" applyFill="1" applyBorder="1"/>
    <xf numFmtId="0" fontId="0" fillId="3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" fontId="0" fillId="6" borderId="0" xfId="0" applyNumberFormat="1" applyFill="1"/>
    <xf numFmtId="0" fontId="0" fillId="7" borderId="1" xfId="0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vertical="center"/>
    </xf>
    <xf numFmtId="0" fontId="13" fillId="4" borderId="11" xfId="0" applyFont="1" applyFill="1" applyBorder="1" applyAlignment="1">
      <alignment horizontal="center" vertical="center"/>
    </xf>
    <xf numFmtId="0" fontId="10" fillId="4" borderId="3" xfId="0" applyFont="1" applyFill="1" applyBorder="1" applyAlignment="1" applyProtection="1">
      <alignment horizontal="center" vertical="center"/>
      <protection locked="0"/>
    </xf>
    <xf numFmtId="0" fontId="10" fillId="4" borderId="21" xfId="0" applyFont="1" applyFill="1" applyBorder="1" applyAlignment="1" applyProtection="1">
      <alignment horizontal="center" vertical="center"/>
      <protection locked="0"/>
    </xf>
    <xf numFmtId="0" fontId="7" fillId="4" borderId="11" xfId="0" applyFon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 applyProtection="1">
      <alignment horizontal="center" vertical="center"/>
      <protection locked="0"/>
    </xf>
    <xf numFmtId="0" fontId="9" fillId="4" borderId="19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0" fillId="9" borderId="0" xfId="0" applyFill="1"/>
    <xf numFmtId="0" fontId="17" fillId="9" borderId="0" xfId="0" applyFont="1" applyFill="1"/>
    <xf numFmtId="0" fontId="12" fillId="9" borderId="0" xfId="0" applyFont="1" applyFill="1" applyAlignment="1">
      <alignment vertical="center" wrapText="1"/>
    </xf>
    <xf numFmtId="0" fontId="10" fillId="9" borderId="0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1" fillId="8" borderId="2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164" fontId="0" fillId="9" borderId="0" xfId="0" applyNumberFormat="1" applyFill="1" applyAlignment="1">
      <alignment horizontal="center"/>
    </xf>
    <xf numFmtId="0" fontId="10" fillId="4" borderId="27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8" fillId="4" borderId="18" xfId="0" applyFont="1" applyFill="1" applyBorder="1" applyAlignment="1">
      <alignment vertical="center" wrapText="1"/>
    </xf>
    <xf numFmtId="0" fontId="18" fillId="4" borderId="22" xfId="0" applyFont="1" applyFill="1" applyBorder="1" applyAlignment="1">
      <alignment vertical="center" wrapText="1"/>
    </xf>
    <xf numFmtId="0" fontId="20" fillId="4" borderId="0" xfId="0" applyFont="1" applyFill="1" applyBorder="1" applyAlignment="1">
      <alignment vertical="center"/>
    </xf>
    <xf numFmtId="0" fontId="0" fillId="10" borderId="0" xfId="0" applyFill="1"/>
    <xf numFmtId="0" fontId="4" fillId="10" borderId="0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left" vertical="center"/>
    </xf>
    <xf numFmtId="0" fontId="0" fillId="10" borderId="0" xfId="0" applyFont="1" applyFill="1" applyAlignment="1">
      <alignment horizontal="left" vertical="center"/>
    </xf>
    <xf numFmtId="0" fontId="0" fillId="4" borderId="17" xfId="0" applyFill="1" applyBorder="1"/>
    <xf numFmtId="0" fontId="0" fillId="4" borderId="18" xfId="0" applyFill="1" applyBorder="1"/>
    <xf numFmtId="0" fontId="0" fillId="4" borderId="22" xfId="0" applyFill="1" applyBorder="1"/>
    <xf numFmtId="0" fontId="4" fillId="4" borderId="23" xfId="0" applyFont="1" applyFill="1" applyBorder="1" applyAlignment="1">
      <alignment horizontal="center" vertical="center"/>
    </xf>
    <xf numFmtId="0" fontId="0" fillId="4" borderId="0" xfId="0" applyFill="1" applyBorder="1"/>
    <xf numFmtId="0" fontId="4" fillId="4" borderId="24" xfId="0" applyFont="1" applyFill="1" applyBorder="1" applyAlignment="1">
      <alignment horizontal="center" vertical="center"/>
    </xf>
    <xf numFmtId="0" fontId="0" fillId="4" borderId="23" xfId="0" applyFill="1" applyBorder="1"/>
    <xf numFmtId="0" fontId="6" fillId="4" borderId="24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7" fillId="10" borderId="0" xfId="0" applyFont="1" applyFill="1" applyAlignment="1">
      <alignment horizontal="left" vertical="center" indent="2"/>
    </xf>
    <xf numFmtId="0" fontId="7" fillId="10" borderId="0" xfId="0" applyFont="1" applyFill="1" applyAlignment="1">
      <alignment horizontal="left" indent="2"/>
    </xf>
    <xf numFmtId="0" fontId="23" fillId="4" borderId="17" xfId="0" applyFont="1" applyFill="1" applyBorder="1" applyAlignment="1">
      <alignment vertical="center" wrapText="1"/>
    </xf>
    <xf numFmtId="0" fontId="0" fillId="4" borderId="30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25" fillId="4" borderId="31" xfId="0" applyFont="1" applyFill="1" applyBorder="1" applyAlignment="1">
      <alignment horizontal="center" vertical="center"/>
    </xf>
    <xf numFmtId="0" fontId="15" fillId="5" borderId="17" xfId="0" applyFont="1" applyFill="1" applyBorder="1" applyAlignment="1">
      <alignment horizontal="center" vertical="center"/>
    </xf>
    <xf numFmtId="0" fontId="0" fillId="5" borderId="28" xfId="0" applyFill="1" applyBorder="1"/>
    <xf numFmtId="0" fontId="20" fillId="5" borderId="29" xfId="0" applyFont="1" applyFill="1" applyBorder="1" applyAlignment="1">
      <alignment vertical="center"/>
    </xf>
    <xf numFmtId="0" fontId="28" fillId="4" borderId="26" xfId="0" applyFont="1" applyFill="1" applyBorder="1" applyAlignment="1">
      <alignment horizontal="center" vertical="center"/>
    </xf>
    <xf numFmtId="0" fontId="28" fillId="4" borderId="11" xfId="0" applyFont="1" applyFill="1" applyBorder="1" applyAlignment="1">
      <alignment horizontal="center" vertical="center"/>
    </xf>
    <xf numFmtId="0" fontId="28" fillId="4" borderId="19" xfId="0" applyFont="1" applyFill="1" applyBorder="1" applyAlignment="1">
      <alignment horizontal="center" vertical="center"/>
    </xf>
    <xf numFmtId="0" fontId="27" fillId="10" borderId="0" xfId="0" applyFont="1" applyFill="1" applyAlignment="1">
      <alignment horizontal="left" indent="16"/>
    </xf>
    <xf numFmtId="0" fontId="22" fillId="10" borderId="0" xfId="0" applyFont="1" applyFill="1" applyBorder="1" applyAlignment="1">
      <alignment horizontal="left" vertical="top" indent="2"/>
    </xf>
    <xf numFmtId="0" fontId="13" fillId="4" borderId="8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10" fillId="4" borderId="10" xfId="0" applyFont="1" applyFill="1" applyBorder="1" applyAlignment="1" applyProtection="1">
      <alignment horizontal="center" vertical="center"/>
      <protection locked="0"/>
    </xf>
    <xf numFmtId="0" fontId="13" fillId="4" borderId="19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10" borderId="3" xfId="0" applyFont="1" applyFill="1" applyBorder="1" applyAlignment="1" applyProtection="1">
      <alignment horizontal="center" vertical="center"/>
      <protection locked="0"/>
    </xf>
    <xf numFmtId="0" fontId="10" fillId="10" borderId="1" xfId="0" applyFont="1" applyFill="1" applyBorder="1" applyAlignment="1">
      <alignment horizontal="center" vertical="center"/>
    </xf>
    <xf numFmtId="0" fontId="10" fillId="2" borderId="21" xfId="0" applyFont="1" applyFill="1" applyBorder="1" applyAlignment="1" applyProtection="1">
      <alignment horizontal="center" vertical="center"/>
      <protection locked="0"/>
    </xf>
    <xf numFmtId="0" fontId="27" fillId="10" borderId="0" xfId="0" applyFont="1" applyFill="1" applyAlignment="1">
      <alignment horizontal="left" indent="2"/>
    </xf>
    <xf numFmtId="0" fontId="10" fillId="10" borderId="0" xfId="0" applyFont="1" applyFill="1" applyAlignment="1">
      <alignment horizontal="left" vertical="center" indent="2"/>
    </xf>
    <xf numFmtId="0" fontId="30" fillId="4" borderId="14" xfId="0" applyFont="1" applyFill="1" applyBorder="1" applyAlignment="1">
      <alignment horizontal="center" vertical="center"/>
    </xf>
    <xf numFmtId="0" fontId="30" fillId="4" borderId="15" xfId="0" applyFont="1" applyFill="1" applyBorder="1" applyAlignment="1">
      <alignment horizontal="center" vertical="center"/>
    </xf>
    <xf numFmtId="0" fontId="30" fillId="4" borderId="4" xfId="0" applyFont="1" applyFill="1" applyBorder="1" applyAlignment="1">
      <alignment horizontal="center" vertical="center"/>
    </xf>
    <xf numFmtId="0" fontId="30" fillId="4" borderId="5" xfId="0" applyFont="1" applyFill="1" applyBorder="1" applyAlignment="1">
      <alignment horizontal="center" vertical="center"/>
    </xf>
    <xf numFmtId="0" fontId="30" fillId="4" borderId="6" xfId="0" applyFont="1" applyFill="1" applyBorder="1" applyAlignment="1">
      <alignment horizontal="center" vertical="center"/>
    </xf>
    <xf numFmtId="165" fontId="7" fillId="4" borderId="11" xfId="0" applyNumberFormat="1" applyFont="1" applyFill="1" applyBorder="1" applyAlignment="1" applyProtection="1">
      <alignment horizontal="center" vertical="center"/>
      <protection locked="0"/>
    </xf>
    <xf numFmtId="165" fontId="7" fillId="4" borderId="1" xfId="0" applyNumberFormat="1" applyFont="1" applyFill="1" applyBorder="1" applyAlignment="1" applyProtection="1">
      <alignment horizontal="center" vertical="center"/>
      <protection locked="0"/>
    </xf>
    <xf numFmtId="165" fontId="7" fillId="4" borderId="3" xfId="0" applyNumberFormat="1" applyFont="1" applyFill="1" applyBorder="1" applyAlignment="1" applyProtection="1">
      <alignment horizontal="center" vertical="center"/>
      <protection locked="0"/>
    </xf>
    <xf numFmtId="0" fontId="8" fillId="4" borderId="6" xfId="0" applyFont="1" applyFill="1" applyBorder="1" applyAlignment="1">
      <alignment horizontal="center" vertical="center"/>
    </xf>
    <xf numFmtId="0" fontId="0" fillId="13" borderId="0" xfId="0" applyFill="1"/>
    <xf numFmtId="0" fontId="0" fillId="13" borderId="0" xfId="0" applyFill="1" applyAlignment="1">
      <alignment horizontal="centerContinuous"/>
    </xf>
    <xf numFmtId="0" fontId="29" fillId="13" borderId="0" xfId="0" applyFont="1" applyFill="1"/>
    <xf numFmtId="0" fontId="26" fillId="13" borderId="0" xfId="0" applyFont="1" applyFill="1" applyAlignment="1">
      <alignment horizontal="centerContinuous" vertical="center"/>
    </xf>
    <xf numFmtId="0" fontId="7" fillId="13" borderId="0" xfId="0" applyFont="1" applyFill="1" applyAlignment="1">
      <alignment horizontal="centerContinuous"/>
    </xf>
    <xf numFmtId="0" fontId="32" fillId="13" borderId="0" xfId="0" applyFont="1" applyFill="1" applyAlignment="1">
      <alignment horizontal="centerContinuous"/>
    </xf>
    <xf numFmtId="0" fontId="31" fillId="13" borderId="0" xfId="0" applyFont="1" applyFill="1" applyAlignment="1">
      <alignment horizontal="centerContinuous"/>
    </xf>
    <xf numFmtId="0" fontId="10" fillId="11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22" fillId="4" borderId="8" xfId="0" applyFont="1" applyFill="1" applyBorder="1" applyAlignment="1">
      <alignment vertical="center"/>
    </xf>
    <xf numFmtId="0" fontId="25" fillId="10" borderId="10" xfId="0" applyFont="1" applyFill="1" applyBorder="1" applyAlignment="1" applyProtection="1">
      <alignment horizontal="center" vertical="center"/>
      <protection locked="0"/>
    </xf>
    <xf numFmtId="0" fontId="22" fillId="4" borderId="19" xfId="0" applyFont="1" applyFill="1" applyBorder="1" applyAlignment="1">
      <alignment vertical="center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Alignment="1">
      <alignment vertical="center"/>
    </xf>
    <xf numFmtId="0" fontId="0" fillId="4" borderId="24" xfId="0" applyFill="1" applyBorder="1"/>
    <xf numFmtId="165" fontId="7" fillId="4" borderId="19" xfId="0" applyNumberFormat="1" applyFont="1" applyFill="1" applyBorder="1" applyAlignment="1" applyProtection="1">
      <alignment horizontal="center" vertical="center"/>
      <protection locked="0"/>
    </xf>
    <xf numFmtId="165" fontId="7" fillId="4" borderId="20" xfId="0" applyNumberFormat="1" applyFont="1" applyFill="1" applyBorder="1" applyAlignment="1" applyProtection="1">
      <alignment horizontal="center" vertical="center"/>
      <protection locked="0"/>
    </xf>
    <xf numFmtId="165" fontId="7" fillId="4" borderId="21" xfId="0" applyNumberFormat="1" applyFont="1" applyFill="1" applyBorder="1" applyAlignment="1" applyProtection="1">
      <alignment horizontal="center" vertical="center"/>
      <protection locked="0"/>
    </xf>
    <xf numFmtId="0" fontId="9" fillId="4" borderId="35" xfId="0" applyFont="1" applyFill="1" applyBorder="1" applyAlignment="1">
      <alignment vertical="top"/>
    </xf>
    <xf numFmtId="0" fontId="35" fillId="4" borderId="3" xfId="0" applyFont="1" applyFill="1" applyBorder="1" applyAlignment="1">
      <alignment horizontal="center" vertical="center"/>
    </xf>
    <xf numFmtId="0" fontId="9" fillId="4" borderId="34" xfId="0" applyFont="1" applyFill="1" applyBorder="1" applyAlignment="1">
      <alignment horizontal="center" vertical="top"/>
    </xf>
    <xf numFmtId="0" fontId="20" fillId="4" borderId="23" xfId="0" applyFont="1" applyFill="1" applyBorder="1" applyAlignment="1">
      <alignment horizontal="left" vertical="center" wrapText="1" indent="1"/>
    </xf>
    <xf numFmtId="0" fontId="20" fillId="4" borderId="0" xfId="0" applyFont="1" applyFill="1" applyBorder="1" applyAlignment="1">
      <alignment horizontal="left" vertical="center" wrapText="1" indent="1"/>
    </xf>
    <xf numFmtId="0" fontId="20" fillId="4" borderId="24" xfId="0" applyFont="1" applyFill="1" applyBorder="1" applyAlignment="1">
      <alignment horizontal="left" vertical="center" wrapText="1" indent="1"/>
    </xf>
    <xf numFmtId="0" fontId="20" fillId="4" borderId="25" xfId="0" applyFont="1" applyFill="1" applyBorder="1" applyAlignment="1">
      <alignment horizontal="left" vertical="center" wrapText="1" indent="1"/>
    </xf>
    <xf numFmtId="0" fontId="20" fillId="4" borderId="12" xfId="0" applyFont="1" applyFill="1" applyBorder="1" applyAlignment="1">
      <alignment horizontal="left" vertical="center" wrapText="1" indent="1"/>
    </xf>
    <xf numFmtId="0" fontId="20" fillId="4" borderId="13" xfId="0" applyFont="1" applyFill="1" applyBorder="1" applyAlignment="1">
      <alignment horizontal="left" vertical="center" wrapText="1" indent="1"/>
    </xf>
    <xf numFmtId="0" fontId="19" fillId="4" borderId="23" xfId="0" applyFont="1" applyFill="1" applyBorder="1" applyAlignment="1">
      <alignment horizontal="left" vertical="top" wrapText="1" indent="2"/>
    </xf>
    <xf numFmtId="0" fontId="19" fillId="4" borderId="0" xfId="0" applyFont="1" applyFill="1" applyBorder="1" applyAlignment="1">
      <alignment horizontal="left" vertical="top" wrapText="1" indent="2"/>
    </xf>
    <xf numFmtId="0" fontId="34" fillId="4" borderId="23" xfId="0" applyFont="1" applyFill="1" applyBorder="1" applyAlignment="1">
      <alignment horizontal="center" vertical="top" wrapText="1"/>
    </xf>
    <xf numFmtId="0" fontId="34" fillId="4" borderId="0" xfId="0" applyFont="1" applyFill="1" applyBorder="1" applyAlignment="1">
      <alignment horizontal="center" vertical="top" wrapText="1"/>
    </xf>
    <xf numFmtId="0" fontId="34" fillId="4" borderId="24" xfId="0" applyFont="1" applyFill="1" applyBorder="1" applyAlignment="1">
      <alignment horizontal="center" vertical="top" wrapText="1"/>
    </xf>
    <xf numFmtId="0" fontId="17" fillId="4" borderId="23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center" vertical="center"/>
    </xf>
    <xf numFmtId="0" fontId="17" fillId="4" borderId="24" xfId="0" applyFont="1" applyFill="1" applyBorder="1" applyAlignment="1">
      <alignment horizontal="center" vertical="center"/>
    </xf>
    <xf numFmtId="0" fontId="9" fillId="4" borderId="36" xfId="0" applyFont="1" applyFill="1" applyBorder="1" applyAlignment="1">
      <alignment horizontal="center" vertical="center"/>
    </xf>
    <xf numFmtId="0" fontId="9" fillId="4" borderId="37" xfId="0" applyFont="1" applyFill="1" applyBorder="1" applyAlignment="1">
      <alignment horizontal="center" vertical="center"/>
    </xf>
    <xf numFmtId="0" fontId="19" fillId="4" borderId="17" xfId="0" applyFont="1" applyFill="1" applyBorder="1" applyAlignment="1">
      <alignment horizontal="center"/>
    </xf>
    <xf numFmtId="0" fontId="19" fillId="4" borderId="22" xfId="0" applyFont="1" applyFill="1" applyBorder="1" applyAlignment="1">
      <alignment horizontal="center"/>
    </xf>
    <xf numFmtId="0" fontId="24" fillId="4" borderId="23" xfId="0" applyFont="1" applyFill="1" applyBorder="1" applyAlignment="1">
      <alignment horizontal="left" vertical="center" wrapText="1" indent="1" readingOrder="1"/>
    </xf>
    <xf numFmtId="0" fontId="24" fillId="4" borderId="0" xfId="0" applyFont="1" applyFill="1" applyBorder="1" applyAlignment="1">
      <alignment horizontal="left" vertical="center" wrapText="1" indent="1" readingOrder="1"/>
    </xf>
    <xf numFmtId="0" fontId="24" fillId="4" borderId="24" xfId="0" applyFont="1" applyFill="1" applyBorder="1" applyAlignment="1">
      <alignment horizontal="left" vertical="center" wrapText="1" indent="1" readingOrder="1"/>
    </xf>
    <xf numFmtId="0" fontId="24" fillId="4" borderId="25" xfId="0" applyFont="1" applyFill="1" applyBorder="1" applyAlignment="1">
      <alignment horizontal="left" vertical="center" wrapText="1" indent="1" readingOrder="1"/>
    </xf>
    <xf numFmtId="0" fontId="24" fillId="4" borderId="12" xfId="0" applyFont="1" applyFill="1" applyBorder="1" applyAlignment="1">
      <alignment horizontal="left" vertical="center" wrapText="1" indent="1" readingOrder="1"/>
    </xf>
    <xf numFmtId="0" fontId="24" fillId="4" borderId="13" xfId="0" applyFont="1" applyFill="1" applyBorder="1" applyAlignment="1">
      <alignment horizontal="left" vertical="center" wrapText="1" indent="1" readingOrder="1"/>
    </xf>
  </cellXfs>
  <cellStyles count="1">
    <cellStyle name="Normal" xfId="0" builtinId="0"/>
  </cellStyles>
  <dxfs count="5">
    <dxf>
      <font>
        <b/>
        <i/>
        <color rgb="FFFF0000"/>
      </font>
      <border>
        <vertical/>
        <horizontal/>
      </border>
    </dxf>
    <dxf>
      <font>
        <b/>
        <i/>
        <color rgb="FFFF0000"/>
      </font>
      <fill>
        <patternFill>
          <bgColor theme="0"/>
        </patternFill>
      </fill>
    </dxf>
    <dxf>
      <font>
        <b/>
        <i val="0"/>
        <color theme="1"/>
      </font>
    </dxf>
    <dxf>
      <font>
        <b/>
        <i/>
        <color rgb="FFFF000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7635"/>
      <color rgb="FFFF71A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36934083089563"/>
          <c:y val="5.5458052949935707E-2"/>
          <c:w val="0.85995422647286179"/>
          <c:h val="0.76691804195516389"/>
        </c:manualLayout>
      </c:layout>
      <c:scatterChart>
        <c:scatterStyle val="lineMarker"/>
        <c:varyColors val="0"/>
        <c:ser>
          <c:idx val="1"/>
          <c:order val="0"/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rgbClr val="00B050"/>
                </a:solidFill>
              </a:ln>
              <a:effectLst/>
            </c:spPr>
          </c:marker>
          <c:xVal>
            <c:numRef>
              <c:f>Verification!$J$14:$N$14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xVal>
          <c:yVal>
            <c:numRef>
              <c:f>Verification!$D$14:$H$14</c:f>
              <c:numCache>
                <c:formatCode>0.0</c:formatCode>
                <c:ptCount val="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6BE-4508-B76D-33AD2E71C566}"/>
            </c:ext>
          </c:extLst>
        </c:ser>
        <c:ser>
          <c:idx val="2"/>
          <c:order val="1"/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Verification!$J$15:$N$15</c:f>
              <c:numCache>
                <c:formatCode>General</c:formatCode>
                <c:ptCount val="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</c:numCache>
            </c:numRef>
          </c:xVal>
          <c:yVal>
            <c:numRef>
              <c:f>Verification!$D$15:$H$15</c:f>
              <c:numCache>
                <c:formatCode>0.0</c:formatCode>
                <c:ptCount val="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6BE-4508-B76D-33AD2E71C566}"/>
            </c:ext>
          </c:extLst>
        </c:ser>
        <c:ser>
          <c:idx val="3"/>
          <c:order val="2"/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Verification!$J$16:$N$16</c:f>
              <c:numCache>
                <c:formatCode>General</c:formatCode>
                <c:ptCount val="5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</c:numCache>
            </c:numRef>
          </c:xVal>
          <c:yVal>
            <c:numRef>
              <c:f>Verification!$D$16:$H$16</c:f>
              <c:numCache>
                <c:formatCode>0.0</c:formatCode>
                <c:ptCount val="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6BE-4508-B76D-33AD2E71C566}"/>
            </c:ext>
          </c:extLst>
        </c:ser>
        <c:ser>
          <c:idx val="4"/>
          <c:order val="3"/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Verification!$J$17:$N$17</c:f>
              <c:numCache>
                <c:formatCode>General</c:formatCode>
                <c:ptCount val="5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</c:numCache>
            </c:numRef>
          </c:xVal>
          <c:yVal>
            <c:numRef>
              <c:f>Verification!$D$17:$H$17</c:f>
              <c:numCache>
                <c:formatCode>0.0</c:formatCode>
                <c:ptCount val="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6BE-4508-B76D-33AD2E71C566}"/>
            </c:ext>
          </c:extLst>
        </c:ser>
        <c:ser>
          <c:idx val="5"/>
          <c:order val="4"/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Verification!$J$18:$N$18</c:f>
              <c:numCache>
                <c:formatCode>General</c:formatCode>
                <c:ptCount val="5"/>
                <c:pt idx="0">
                  <c:v>21</c:v>
                </c:pt>
                <c:pt idx="1">
                  <c:v>22</c:v>
                </c:pt>
                <c:pt idx="2">
                  <c:v>23</c:v>
                </c:pt>
                <c:pt idx="3">
                  <c:v>24</c:v>
                </c:pt>
                <c:pt idx="4">
                  <c:v>25</c:v>
                </c:pt>
              </c:numCache>
            </c:numRef>
          </c:xVal>
          <c:yVal>
            <c:numRef>
              <c:f>Verification!$D$18:$H$18</c:f>
              <c:numCache>
                <c:formatCode>0.0</c:formatCode>
                <c:ptCount val="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6BE-4508-B76D-33AD2E71C566}"/>
            </c:ext>
          </c:extLst>
        </c:ser>
        <c:ser>
          <c:idx val="6"/>
          <c:order val="5"/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Verification!$J$19:$N$19</c:f>
              <c:numCache>
                <c:formatCode>General</c:formatCode>
                <c:ptCount val="5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</c:numCache>
            </c:numRef>
          </c:xVal>
          <c:yVal>
            <c:numRef>
              <c:f>Verification!$D$19:$H$19</c:f>
              <c:numCache>
                <c:formatCode>0.0</c:formatCode>
                <c:ptCount val="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6BE-4508-B76D-33AD2E71C566}"/>
            </c:ext>
          </c:extLst>
        </c:ser>
        <c:ser>
          <c:idx val="7"/>
          <c:order val="6"/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rgbClr val="00B050"/>
                </a:solidFill>
              </a:ln>
              <a:effectLst/>
            </c:spPr>
          </c:marker>
          <c:xVal>
            <c:numRef>
              <c:f>Verification!$J$20:$N$20</c:f>
              <c:numCache>
                <c:formatCode>General</c:formatCode>
                <c:ptCount val="5"/>
                <c:pt idx="0">
                  <c:v>31</c:v>
                </c:pt>
                <c:pt idx="1">
                  <c:v>32</c:v>
                </c:pt>
                <c:pt idx="2">
                  <c:v>33</c:v>
                </c:pt>
                <c:pt idx="3">
                  <c:v>34</c:v>
                </c:pt>
                <c:pt idx="4">
                  <c:v>35</c:v>
                </c:pt>
              </c:numCache>
            </c:numRef>
          </c:xVal>
          <c:yVal>
            <c:numRef>
              <c:f>Verification!$D$20:$H$20</c:f>
              <c:numCache>
                <c:formatCode>0.0</c:formatCode>
                <c:ptCount val="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6BE-4508-B76D-33AD2E71C566}"/>
            </c:ext>
          </c:extLst>
        </c:ser>
        <c:ser>
          <c:idx val="8"/>
          <c:order val="7"/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xVal>
            <c:numRef>
              <c:f>Verification!$T$25:$U$25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Verification!$T$26:$U$26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16BE-4508-B76D-33AD2E71C566}"/>
            </c:ext>
          </c:extLst>
        </c:ser>
        <c:ser>
          <c:idx val="9"/>
          <c:order val="8"/>
          <c:spPr>
            <a:ln w="9525" cap="rnd">
              <a:solidFill>
                <a:srgbClr val="0070C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Verification!$T$3:$U$3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Verification!$T$4:$U$4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16BE-4508-B76D-33AD2E71C566}"/>
            </c:ext>
          </c:extLst>
        </c:ser>
        <c:ser>
          <c:idx val="10"/>
          <c:order val="9"/>
          <c:spPr>
            <a:ln w="9525" cap="rnd">
              <a:solidFill>
                <a:srgbClr val="0070C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Verification!$T$5:$U$5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Verification!$T$6:$U$6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16BE-4508-B76D-33AD2E71C566}"/>
            </c:ext>
          </c:extLst>
        </c:ser>
        <c:ser>
          <c:idx val="11"/>
          <c:order val="10"/>
          <c:spPr>
            <a:ln w="9525" cap="rnd">
              <a:solidFill>
                <a:srgbClr val="0070C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Verification!$T$7:$U$7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Verification!$T$8:$U$8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16BE-4508-B76D-33AD2E71C566}"/>
            </c:ext>
          </c:extLst>
        </c:ser>
        <c:ser>
          <c:idx val="12"/>
          <c:order val="11"/>
          <c:spPr>
            <a:ln w="9525" cap="rnd">
              <a:solidFill>
                <a:srgbClr val="0070C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Verification!$T$9:$U$9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Verification!$T$12:$U$12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16BE-4508-B76D-33AD2E71C566}"/>
            </c:ext>
          </c:extLst>
        </c:ser>
        <c:ser>
          <c:idx val="13"/>
          <c:order val="12"/>
          <c:spPr>
            <a:ln w="9525" cap="rnd">
              <a:solidFill>
                <a:srgbClr val="0070C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Verification!$T$13:$U$13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Verification!$T$14:$U$14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16BE-4508-B76D-33AD2E71C566}"/>
            </c:ext>
          </c:extLst>
        </c:ser>
        <c:ser>
          <c:idx val="14"/>
          <c:order val="13"/>
          <c:spPr>
            <a:ln w="9525" cap="rnd">
              <a:solidFill>
                <a:srgbClr val="0070C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Verification!$T$15:$U$15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Verification!$T$16:$U$16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16BE-4508-B76D-33AD2E71C566}"/>
            </c:ext>
          </c:extLst>
        </c:ser>
        <c:ser>
          <c:idx val="0"/>
          <c:order val="14"/>
          <c:spPr>
            <a:ln w="9525" cap="rnd">
              <a:solidFill>
                <a:srgbClr val="0070C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Verification!$T$17:$U$17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Verification!$T$18:$U$18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16BE-4508-B76D-33AD2E71C5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8532480"/>
        <c:axId val="348531304"/>
      </c:scatterChart>
      <c:valAx>
        <c:axId val="348532480"/>
        <c:scaling>
          <c:orientation val="minMax"/>
          <c:max val="3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chemeClr val="tx1"/>
                    </a:solidFill>
                  </a:rPr>
                  <a:t>Repeat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a-I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a-IR"/>
          </a:p>
        </c:txPr>
        <c:crossAx val="348531304"/>
        <c:crosses val="autoZero"/>
        <c:crossBetween val="midCat"/>
      </c:valAx>
      <c:valAx>
        <c:axId val="348531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chemeClr val="tx1"/>
                    </a:solidFill>
                  </a:rPr>
                  <a:t>RRESULT</a:t>
                </a:r>
              </a:p>
            </c:rich>
          </c:tx>
          <c:layout>
            <c:manualLayout>
              <c:xMode val="edge"/>
              <c:yMode val="edge"/>
              <c:x val="9.9982653887802659E-3"/>
              <c:y val="0.339575274607568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a-IR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a-IR"/>
          </a:p>
        </c:txPr>
        <c:crossAx val="348532480"/>
        <c:crosses val="autoZero"/>
        <c:crossBetween val="midCat"/>
      </c:valAx>
      <c:spPr>
        <a:noFill/>
        <a:ln>
          <a:solidFill>
            <a:schemeClr val="bg1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prstDash val="dash"/>
      <a:round/>
    </a:ln>
    <a:effectLst/>
  </c:spPr>
  <c:txPr>
    <a:bodyPr/>
    <a:lstStyle/>
    <a:p>
      <a:pPr>
        <a:defRPr/>
      </a:pPr>
      <a:endParaRPr lang="fa-I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134258</xdr:colOff>
      <xdr:row>9</xdr:row>
      <xdr:rowOff>79375</xdr:rowOff>
    </xdr:from>
    <xdr:to>
      <xdr:col>17</xdr:col>
      <xdr:colOff>95250</xdr:colOff>
      <xdr:row>20</xdr:row>
      <xdr:rowOff>106022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J56"/>
  <sheetViews>
    <sheetView tabSelected="1" zoomScale="80" zoomScaleNormal="80" workbookViewId="0">
      <pane xSplit="19" ySplit="22" topLeftCell="T23" activePane="bottomRight" state="frozen"/>
      <selection pane="topRight" activeCell="T1" sqref="T1"/>
      <selection pane="bottomLeft" activeCell="A22" sqref="A22"/>
      <selection pane="bottomRight" activeCell="D14" sqref="D14:D18"/>
    </sheetView>
  </sheetViews>
  <sheetFormatPr defaultRowHeight="14.25" x14ac:dyDescent="0.2"/>
  <cols>
    <col min="1" max="1" width="2" style="55" customWidth="1"/>
    <col min="2" max="2" width="1.75" customWidth="1"/>
    <col min="3" max="3" width="7.375" customWidth="1"/>
    <col min="4" max="10" width="11.75" customWidth="1"/>
    <col min="11" max="11" width="15.375" customWidth="1"/>
    <col min="12" max="12" width="3.125" customWidth="1"/>
    <col min="13" max="13" width="10.875" customWidth="1"/>
    <col min="14" max="14" width="12.75" customWidth="1"/>
    <col min="15" max="15" width="3.375" customWidth="1"/>
    <col min="16" max="16" width="10.375" customWidth="1"/>
    <col min="17" max="17" width="10.125" customWidth="1"/>
    <col min="18" max="18" width="2.25" customWidth="1"/>
    <col min="19" max="19" width="200.75" style="58" customWidth="1"/>
    <col min="22" max="22" width="16.125" customWidth="1"/>
    <col min="28" max="28" width="12.125" customWidth="1"/>
  </cols>
  <sheetData>
    <row r="1" spans="1:36" s="55" customFormat="1" ht="22.5" customHeight="1" thickBot="1" x14ac:dyDescent="0.25">
      <c r="S1" s="58"/>
      <c r="T1" s="55" t="s">
        <v>108</v>
      </c>
    </row>
    <row r="2" spans="1:36" s="55" customFormat="1" ht="22.5" customHeight="1" thickBot="1" x14ac:dyDescent="0.25">
      <c r="B2" s="59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1"/>
      <c r="S2" s="58"/>
    </row>
    <row r="3" spans="1:36" s="8" customFormat="1" ht="20.25" customHeight="1" thickBot="1" x14ac:dyDescent="0.35">
      <c r="A3" s="55"/>
      <c r="B3" s="65"/>
      <c r="C3" s="63"/>
      <c r="E3" s="125" t="s">
        <v>118</v>
      </c>
      <c r="F3" s="120"/>
      <c r="G3" s="120"/>
      <c r="H3" s="142" t="s">
        <v>127</v>
      </c>
      <c r="I3" s="143"/>
      <c r="J3" s="120"/>
      <c r="K3" s="120"/>
      <c r="L3" s="120"/>
      <c r="M3" s="120"/>
      <c r="N3" s="120"/>
      <c r="O3" s="63"/>
      <c r="P3" s="63"/>
      <c r="Q3" s="63"/>
      <c r="R3" s="121"/>
      <c r="S3" s="95"/>
      <c r="T3" s="73">
        <f>IF((COUNT(D14:H14))&gt;1,0.6,0)</f>
        <v>0</v>
      </c>
      <c r="U3" s="77">
        <f>IF((COUNT(D14:H14))&gt;1,5.4,0)</f>
        <v>0</v>
      </c>
    </row>
    <row r="4" spans="1:36" ht="21.95" customHeight="1" x14ac:dyDescent="0.2">
      <c r="B4" s="62"/>
      <c r="C4" s="63"/>
      <c r="D4" s="86" t="s">
        <v>101</v>
      </c>
      <c r="E4" s="89"/>
      <c r="F4" s="16"/>
      <c r="G4" s="78"/>
      <c r="H4" s="24" t="s">
        <v>37</v>
      </c>
      <c r="I4" s="24" t="s">
        <v>38</v>
      </c>
      <c r="J4" s="24" t="s">
        <v>71</v>
      </c>
      <c r="K4" s="29" t="s">
        <v>72</v>
      </c>
      <c r="L4" s="63"/>
      <c r="M4" s="86" t="s">
        <v>0</v>
      </c>
      <c r="N4" s="29" t="str">
        <f>IF((COUNT(D14:H20))&lt;2,"",AA28)</f>
        <v/>
      </c>
      <c r="O4" s="139" t="s">
        <v>126</v>
      </c>
      <c r="P4" s="140"/>
      <c r="Q4" s="140"/>
      <c r="R4" s="141"/>
      <c r="S4" s="96"/>
      <c r="T4" s="75" t="str">
        <f>IF((COUNT(D14:H14))&gt;1,AVERAGE(D14:H14),N7)</f>
        <v/>
      </c>
      <c r="U4" s="76" t="str">
        <f>IF((COUNT(D14:H14))&gt;1,AVERAGE(D14:H14),N7)</f>
        <v/>
      </c>
      <c r="V4" s="16"/>
      <c r="W4" s="16"/>
    </row>
    <row r="5" spans="1:36" ht="21.95" customHeight="1" x14ac:dyDescent="0.2">
      <c r="B5" s="62"/>
      <c r="C5" s="16"/>
      <c r="D5" s="30" t="s">
        <v>73</v>
      </c>
      <c r="E5" s="92"/>
      <c r="F5" s="16"/>
      <c r="G5" s="25" t="s">
        <v>74</v>
      </c>
      <c r="H5" s="17" t="str">
        <f>IF((COUNT(E9,AA47))=2,ROUND(AA47,E9),"")</f>
        <v/>
      </c>
      <c r="I5" s="93" t="str">
        <f>IF((COUNT(H5))=1,ROUND(AD47,E9),"")</f>
        <v/>
      </c>
      <c r="J5" s="113" t="str">
        <f>IF((COUNT(E8:E8,E4:E6,AD52))=5,ROUND((E5*AD52),E9),"")</f>
        <v/>
      </c>
      <c r="K5" s="126" t="str">
        <f>IF((COUNT(I5:J5))&lt;2,"",IF(I5&lt;E5,"PASS Claim",IF(I5&lt;J5,"PASS UVL","FAIL")))</f>
        <v/>
      </c>
      <c r="L5" s="16"/>
      <c r="M5" s="50" t="s">
        <v>81</v>
      </c>
      <c r="N5" s="26" t="str">
        <f>IF((COUNT(D14:H20))&lt;2,"",AA29)</f>
        <v/>
      </c>
      <c r="O5" s="139"/>
      <c r="P5" s="140"/>
      <c r="Q5" s="140"/>
      <c r="R5" s="141"/>
      <c r="S5" s="70"/>
      <c r="T5" s="73">
        <f>IF((COUNT(D15:H15))&gt;1,5.6,0)</f>
        <v>0</v>
      </c>
      <c r="U5" s="74">
        <f>IF((COUNT(D15:H15))&gt;1,10.4,0)</f>
        <v>0</v>
      </c>
      <c r="V5" s="16"/>
      <c r="W5" s="16"/>
    </row>
    <row r="6" spans="1:36" ht="21.95" customHeight="1" thickBot="1" x14ac:dyDescent="0.25">
      <c r="B6" s="62"/>
      <c r="C6" s="16"/>
      <c r="D6" s="90" t="s">
        <v>90</v>
      </c>
      <c r="E6" s="94"/>
      <c r="F6" s="16"/>
      <c r="G6" s="25" t="s">
        <v>75</v>
      </c>
      <c r="H6" s="17" t="str">
        <f>IF((COUNT(E9,AA49))=2,ROUND(AA49,E9),"")</f>
        <v/>
      </c>
      <c r="I6" s="91" t="str">
        <f>IF((COUNT(H6))=1,ROUND(AD49,E9),"")</f>
        <v/>
      </c>
      <c r="J6" s="114" t="str">
        <f>IF((COUNT(E4:E9,I6))=6,ROUND((E6*K38),E9),"")</f>
        <v/>
      </c>
      <c r="K6" s="126" t="str">
        <f>IF((COUNT(I6:J6))&lt;2,"",IF(I6&lt;E6,"PASS Claim",IF(I6&lt;J6,"PASS UVL","FAIL")))</f>
        <v/>
      </c>
      <c r="L6" s="16"/>
      <c r="M6" s="50" t="s">
        <v>82</v>
      </c>
      <c r="N6" s="26" t="str">
        <f>IF((COUNT(D14:H20))&lt;2,"",U41)</f>
        <v/>
      </c>
      <c r="O6" s="136" t="s">
        <v>111</v>
      </c>
      <c r="P6" s="137"/>
      <c r="Q6" s="137"/>
      <c r="R6" s="138"/>
      <c r="S6" s="70"/>
      <c r="T6" s="75" t="str">
        <f>IF((COUNT(D15:H15))&gt;1,AVERAGE(D15:H15),N7)</f>
        <v/>
      </c>
      <c r="U6" s="76" t="str">
        <f>IF((COUNT(D15:H15))&gt;1,AVERAGE(D15:H15),N7)</f>
        <v/>
      </c>
      <c r="V6" s="16"/>
      <c r="W6" s="16"/>
    </row>
    <row r="7" spans="1:36" ht="21.95" customHeight="1" thickBot="1" x14ac:dyDescent="0.25">
      <c r="B7" s="62"/>
      <c r="C7" s="16"/>
      <c r="D7" s="127"/>
      <c r="E7" s="127"/>
      <c r="F7" s="16"/>
      <c r="G7" s="27" t="s">
        <v>76</v>
      </c>
      <c r="H7" s="28" t="str">
        <f>IF((COUNT(E9,AA48))=2,ROUND(AA48,E9),"")</f>
        <v/>
      </c>
      <c r="I7" s="28" t="str">
        <f>IF((COUNT(H7))=1,ROUND(AD48,E9),"")</f>
        <v/>
      </c>
      <c r="J7" s="79"/>
      <c r="K7" s="80"/>
      <c r="L7" s="54"/>
      <c r="M7" s="31" t="s">
        <v>3</v>
      </c>
      <c r="N7" s="26" t="str">
        <f>IF((COUNT(E9,AA30))&lt;2,"",IF(E9&gt;0,ROUND(AA30,E9-1),ROUND(AA30,0)))</f>
        <v/>
      </c>
      <c r="O7" s="136"/>
      <c r="P7" s="137"/>
      <c r="Q7" s="137"/>
      <c r="R7" s="138"/>
      <c r="S7" s="70"/>
      <c r="T7" s="73">
        <f>IF((COUNT(D16:H16))&gt;1,10.6,0)</f>
        <v>0</v>
      </c>
      <c r="U7" s="74">
        <f>IF((COUNT(D16:H16))&gt;1,15.4,0)</f>
        <v>0</v>
      </c>
      <c r="V7" s="16"/>
      <c r="W7" s="16"/>
      <c r="X7" t="s">
        <v>123</v>
      </c>
    </row>
    <row r="8" spans="1:36" ht="21.95" customHeight="1" x14ac:dyDescent="0.2">
      <c r="B8" s="65"/>
      <c r="C8" s="63"/>
      <c r="D8" s="31" t="s">
        <v>113</v>
      </c>
      <c r="E8" s="32"/>
      <c r="F8" s="16"/>
      <c r="G8" s="128" t="str">
        <f>IF((COUNT(N4:N5))&lt;2,"",IF(N5&lt;5,"Note! nRun is less than 5; the estimates are not reliable",IF((N4-N5)&lt;18,"Note! N-nRun is less than 18; the estimates are not reliable","The study design is correct; the estimates are reliable")))</f>
        <v/>
      </c>
      <c r="H8" s="129"/>
      <c r="I8" s="129"/>
      <c r="J8" s="129"/>
      <c r="K8" s="130"/>
      <c r="L8" s="63"/>
      <c r="M8" s="50" t="s">
        <v>61</v>
      </c>
      <c r="N8" s="26" t="str">
        <f>IF((COUNT(D14:H20))&lt;2,"",MIN(D14:H20))</f>
        <v/>
      </c>
      <c r="O8" s="136"/>
      <c r="P8" s="137"/>
      <c r="Q8" s="137"/>
      <c r="R8" s="138"/>
      <c r="S8" s="70"/>
      <c r="T8" s="75" t="str">
        <f>IF((COUNT(D16:H16))&gt;1,AVERAGE(D16:H16),N7)</f>
        <v/>
      </c>
      <c r="U8" s="76" t="str">
        <f>IF((COUNT(D16:H16))&gt;1,AVERAGE(D16:H16),N7)</f>
        <v/>
      </c>
      <c r="X8">
        <v>0</v>
      </c>
      <c r="AG8" t="s">
        <v>4</v>
      </c>
    </row>
    <row r="9" spans="1:36" ht="21.95" customHeight="1" thickBot="1" x14ac:dyDescent="0.25">
      <c r="B9" s="62"/>
      <c r="C9" s="16"/>
      <c r="D9" s="31" t="s">
        <v>112</v>
      </c>
      <c r="E9" s="32"/>
      <c r="F9" s="16"/>
      <c r="G9" s="131"/>
      <c r="H9" s="132"/>
      <c r="I9" s="132"/>
      <c r="J9" s="132"/>
      <c r="K9" s="133"/>
      <c r="L9" s="16"/>
      <c r="M9" s="37" t="s">
        <v>62</v>
      </c>
      <c r="N9" s="51" t="str">
        <f>IF((COUNT(D14:H20))&lt;2,"",MAX(D14:H20))</f>
        <v/>
      </c>
      <c r="O9" s="16"/>
      <c r="P9" s="63"/>
      <c r="Q9" s="63"/>
      <c r="R9" s="64"/>
      <c r="S9" s="70"/>
      <c r="T9" s="73">
        <f>IF((COUNT(D17:H17))&gt;1,15.6,0)</f>
        <v>0</v>
      </c>
      <c r="U9" s="74">
        <f>IF((COUNT(D17:H17))&gt;1,20.4,0)</f>
        <v>0</v>
      </c>
      <c r="X9">
        <v>1</v>
      </c>
    </row>
    <row r="10" spans="1:36" ht="21.95" customHeight="1" thickBot="1" x14ac:dyDescent="0.25">
      <c r="B10" s="62"/>
      <c r="C10" s="16"/>
      <c r="D10" s="27" t="s">
        <v>109</v>
      </c>
      <c r="E10" s="33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63"/>
      <c r="Q10" s="63"/>
      <c r="R10" s="64"/>
      <c r="S10" s="70"/>
      <c r="T10" s="75"/>
      <c r="U10" s="76"/>
      <c r="X10">
        <v>2</v>
      </c>
    </row>
    <row r="11" spans="1:36" ht="19.5" customHeight="1" x14ac:dyDescent="0.2">
      <c r="B11" s="134" t="str">
        <f>IF((COUNT(E10,H6:J6))&lt;4,"",(IF(E6&gt;E10,"The manufacturer's claim for within-lab CV is larger than allowable CV!",(IF(I6&gt;J6,(IF(I6&lt;E10,"Lab's estimate for within-lab CV is larger than the cliam, but less than allowable CV","Lab estimate for within-lab CV exceeds both upper verification limit and allowable CV")),"")))))</f>
        <v/>
      </c>
      <c r="C11" s="135"/>
      <c r="D11" s="135"/>
      <c r="E11" s="135"/>
      <c r="F11" s="135"/>
      <c r="G11" s="135"/>
      <c r="H11" s="135"/>
      <c r="I11" s="16"/>
      <c r="J11" s="16"/>
      <c r="K11" s="16"/>
      <c r="L11" s="16"/>
      <c r="M11" s="16"/>
      <c r="N11" s="16"/>
      <c r="O11" s="16"/>
      <c r="P11" s="63"/>
      <c r="Q11" s="63"/>
      <c r="R11" s="64"/>
      <c r="S11" s="70"/>
      <c r="T11" s="16"/>
      <c r="U11" s="16"/>
      <c r="X11">
        <v>3</v>
      </c>
    </row>
    <row r="12" spans="1:36" ht="18.75" customHeight="1" thickBot="1" x14ac:dyDescent="0.25">
      <c r="B12" s="134"/>
      <c r="C12" s="135"/>
      <c r="D12" s="135"/>
      <c r="E12" s="135"/>
      <c r="F12" s="135"/>
      <c r="G12" s="135"/>
      <c r="H12" s="135"/>
      <c r="I12" s="16"/>
      <c r="J12" s="16"/>
      <c r="K12" s="16"/>
      <c r="L12" s="16"/>
      <c r="M12" s="16"/>
      <c r="N12" s="16"/>
      <c r="O12" s="16"/>
      <c r="P12" s="63"/>
      <c r="Q12" s="63"/>
      <c r="R12" s="64"/>
      <c r="S12" s="70"/>
      <c r="T12" s="16" t="str">
        <f>IF((COUNT(D17:H17))&gt;1,AVERAGE(D17:H17),N7)</f>
        <v/>
      </c>
      <c r="U12" s="16" t="str">
        <f>IF((COUNT(D17:H17))&gt;1,AVERAGE(D17:H17),N7)</f>
        <v/>
      </c>
      <c r="X12">
        <v>4</v>
      </c>
    </row>
    <row r="13" spans="1:36" ht="18.75" thickBot="1" x14ac:dyDescent="0.25">
      <c r="B13" s="62"/>
      <c r="C13" s="16"/>
      <c r="D13" s="22" t="s">
        <v>66</v>
      </c>
      <c r="E13" s="23" t="s">
        <v>67</v>
      </c>
      <c r="F13" s="23" t="s">
        <v>68</v>
      </c>
      <c r="G13" s="23" t="s">
        <v>69</v>
      </c>
      <c r="H13" s="115" t="s">
        <v>70</v>
      </c>
      <c r="I13" s="16"/>
      <c r="J13" s="16"/>
      <c r="K13" s="16"/>
      <c r="L13" s="16"/>
      <c r="M13" s="16"/>
      <c r="N13" s="16"/>
      <c r="O13" s="16"/>
      <c r="P13" s="63"/>
      <c r="Q13" s="63"/>
      <c r="R13" s="64"/>
      <c r="S13" s="70"/>
      <c r="T13" s="73">
        <f>IF((COUNT(D18:H18))&gt;1,20.6,0)</f>
        <v>0</v>
      </c>
      <c r="U13" s="74">
        <f>IF((COUNT(D18:H18))&gt;1,25.4,0)</f>
        <v>0</v>
      </c>
      <c r="X13">
        <v>5</v>
      </c>
      <c r="AF13">
        <v>1</v>
      </c>
      <c r="AG13">
        <v>2</v>
      </c>
      <c r="AH13">
        <v>3</v>
      </c>
      <c r="AI13">
        <v>4</v>
      </c>
      <c r="AJ13">
        <v>5</v>
      </c>
    </row>
    <row r="14" spans="1:36" ht="18" x14ac:dyDescent="0.2">
      <c r="B14" s="62"/>
      <c r="C14" s="87" t="s">
        <v>83</v>
      </c>
      <c r="D14" s="102"/>
      <c r="E14" s="103"/>
      <c r="F14" s="103"/>
      <c r="G14" s="103"/>
      <c r="H14" s="104"/>
      <c r="I14" s="16"/>
      <c r="J14" s="16">
        <v>1</v>
      </c>
      <c r="K14" s="16">
        <v>2</v>
      </c>
      <c r="L14" s="16">
        <v>3</v>
      </c>
      <c r="M14" s="16">
        <v>4</v>
      </c>
      <c r="N14" s="16">
        <v>5</v>
      </c>
      <c r="O14" s="16"/>
      <c r="P14" s="63"/>
      <c r="Q14" s="63"/>
      <c r="R14" s="64"/>
      <c r="S14" s="70"/>
      <c r="T14" s="75" t="str">
        <f>IF((COUNT(D18:H18))&gt;1,AVERAGE(D18:H18),N7)</f>
        <v/>
      </c>
      <c r="U14" s="76" t="str">
        <f>IF((COUNT(D18:H18))&gt;1,AVERAGE(D18:H18),N7)</f>
        <v/>
      </c>
      <c r="X14">
        <v>6</v>
      </c>
      <c r="AE14">
        <v>1</v>
      </c>
      <c r="AF14" s="15" t="str">
        <f t="shared" ref="AF14:AJ20" si="0">IF((COUNT(D14))=1,(D14-$AA$30)^2,"")</f>
        <v/>
      </c>
      <c r="AG14" s="15" t="str">
        <f t="shared" si="0"/>
        <v/>
      </c>
      <c r="AH14" s="15" t="str">
        <f t="shared" si="0"/>
        <v/>
      </c>
      <c r="AI14" s="15" t="str">
        <f t="shared" si="0"/>
        <v/>
      </c>
      <c r="AJ14" s="15" t="str">
        <f t="shared" si="0"/>
        <v/>
      </c>
    </row>
    <row r="15" spans="1:36" ht="18" x14ac:dyDescent="0.2">
      <c r="B15" s="62"/>
      <c r="C15" s="88" t="s">
        <v>84</v>
      </c>
      <c r="D15" s="102"/>
      <c r="E15" s="103"/>
      <c r="F15" s="103"/>
      <c r="G15" s="103"/>
      <c r="H15" s="104"/>
      <c r="I15" s="21"/>
      <c r="J15" s="21">
        <v>6</v>
      </c>
      <c r="K15" s="21">
        <v>7</v>
      </c>
      <c r="L15" s="21">
        <v>8</v>
      </c>
      <c r="M15" s="21">
        <v>9</v>
      </c>
      <c r="N15" s="21">
        <v>10</v>
      </c>
      <c r="O15" s="21"/>
      <c r="P15" s="21"/>
      <c r="Q15" s="21"/>
      <c r="R15" s="66"/>
      <c r="S15" s="70"/>
      <c r="T15" s="73">
        <f>IF((COUNT(D19:H19))&gt;1,25.6,0)</f>
        <v>0</v>
      </c>
      <c r="U15" s="74">
        <f>IF((COUNT(D19:H19))&gt;1,30.4,0)</f>
        <v>0</v>
      </c>
      <c r="AE15">
        <v>2</v>
      </c>
      <c r="AF15" s="15" t="str">
        <f t="shared" si="0"/>
        <v/>
      </c>
      <c r="AG15" s="15" t="str">
        <f t="shared" si="0"/>
        <v/>
      </c>
      <c r="AH15" s="15" t="str">
        <f t="shared" si="0"/>
        <v/>
      </c>
      <c r="AI15" s="15" t="str">
        <f t="shared" si="0"/>
        <v/>
      </c>
      <c r="AJ15" s="15" t="str">
        <f t="shared" si="0"/>
        <v/>
      </c>
    </row>
    <row r="16" spans="1:36" ht="18" x14ac:dyDescent="0.2">
      <c r="B16" s="62"/>
      <c r="C16" s="88" t="s">
        <v>85</v>
      </c>
      <c r="D16" s="102"/>
      <c r="E16" s="103"/>
      <c r="F16" s="103"/>
      <c r="G16" s="103"/>
      <c r="H16" s="104"/>
      <c r="I16" s="21"/>
      <c r="J16" s="21">
        <v>11</v>
      </c>
      <c r="K16" s="21">
        <v>12</v>
      </c>
      <c r="L16" s="21">
        <v>13</v>
      </c>
      <c r="M16" s="21">
        <v>14</v>
      </c>
      <c r="N16" s="21">
        <v>15</v>
      </c>
      <c r="O16" s="21"/>
      <c r="P16" s="21"/>
      <c r="Q16" s="21"/>
      <c r="R16" s="66"/>
      <c r="S16" s="70"/>
      <c r="T16" s="75" t="str">
        <f>IF((COUNT(D19:H19))&gt;1,AVERAGE(D19:H19),N7)</f>
        <v/>
      </c>
      <c r="U16" s="76" t="str">
        <f>IF((COUNT(D19:H19))&gt;1,AVERAGE(D19:H19),N7)</f>
        <v/>
      </c>
      <c r="AE16">
        <v>3</v>
      </c>
      <c r="AF16" s="15" t="str">
        <f t="shared" si="0"/>
        <v/>
      </c>
      <c r="AG16" s="15" t="str">
        <f t="shared" si="0"/>
        <v/>
      </c>
      <c r="AH16" s="15" t="str">
        <f t="shared" si="0"/>
        <v/>
      </c>
      <c r="AI16" s="15" t="str">
        <f t="shared" si="0"/>
        <v/>
      </c>
      <c r="AJ16" s="15" t="str">
        <f t="shared" si="0"/>
        <v/>
      </c>
    </row>
    <row r="17" spans="2:36" ht="18" x14ac:dyDescent="0.2">
      <c r="B17" s="62"/>
      <c r="C17" s="88" t="s">
        <v>86</v>
      </c>
      <c r="D17" s="102"/>
      <c r="E17" s="103"/>
      <c r="F17" s="103"/>
      <c r="G17" s="103"/>
      <c r="H17" s="104"/>
      <c r="I17" s="21"/>
      <c r="J17" s="21">
        <v>16</v>
      </c>
      <c r="K17" s="21">
        <v>17</v>
      </c>
      <c r="L17" s="21">
        <v>18</v>
      </c>
      <c r="M17" s="21">
        <v>19</v>
      </c>
      <c r="N17" s="21">
        <v>20</v>
      </c>
      <c r="O17" s="21"/>
      <c r="P17" s="21"/>
      <c r="Q17" s="21"/>
      <c r="R17" s="66"/>
      <c r="S17" s="70"/>
      <c r="T17" s="73">
        <f>IF((COUNT(D20:H20))&gt;1,30.6,0)</f>
        <v>0</v>
      </c>
      <c r="U17" s="74">
        <f>IF((COUNT(D20:H20))&gt;1,35.4,0)</f>
        <v>0</v>
      </c>
      <c r="AE17">
        <v>4</v>
      </c>
      <c r="AF17" s="15" t="str">
        <f t="shared" si="0"/>
        <v/>
      </c>
      <c r="AG17" s="15" t="str">
        <f t="shared" si="0"/>
        <v/>
      </c>
      <c r="AH17" s="15" t="str">
        <f t="shared" si="0"/>
        <v/>
      </c>
      <c r="AI17" s="15" t="str">
        <f t="shared" si="0"/>
        <v/>
      </c>
      <c r="AJ17" s="15" t="str">
        <f t="shared" si="0"/>
        <v/>
      </c>
    </row>
    <row r="18" spans="2:36" ht="18" x14ac:dyDescent="0.2">
      <c r="B18" s="62"/>
      <c r="C18" s="88" t="s">
        <v>87</v>
      </c>
      <c r="D18" s="102"/>
      <c r="E18" s="103"/>
      <c r="F18" s="103"/>
      <c r="G18" s="103"/>
      <c r="H18" s="104"/>
      <c r="I18" s="21"/>
      <c r="J18" s="21">
        <v>21</v>
      </c>
      <c r="K18" s="21">
        <v>22</v>
      </c>
      <c r="L18" s="21">
        <v>23</v>
      </c>
      <c r="M18" s="21">
        <v>24</v>
      </c>
      <c r="N18" s="21">
        <v>25</v>
      </c>
      <c r="O18" s="21"/>
      <c r="P18" s="21"/>
      <c r="Q18" s="21"/>
      <c r="R18" s="66"/>
      <c r="S18" s="70"/>
      <c r="T18" s="75" t="str">
        <f>IF((COUNT(D20:H20))&gt;1,AVERAGE(D20:H20),N7)</f>
        <v/>
      </c>
      <c r="U18" s="76" t="str">
        <f>IF((COUNT(D20:H20))&gt;1,AVERAGE(D20:H20),N7)</f>
        <v/>
      </c>
      <c r="AE18">
        <v>5</v>
      </c>
      <c r="AF18" s="15" t="str">
        <f t="shared" si="0"/>
        <v/>
      </c>
      <c r="AG18" s="15" t="str">
        <f t="shared" si="0"/>
        <v/>
      </c>
      <c r="AH18" s="15" t="str">
        <f t="shared" si="0"/>
        <v/>
      </c>
      <c r="AI18" s="15" t="str">
        <f t="shared" si="0"/>
        <v/>
      </c>
      <c r="AJ18" s="15" t="str">
        <f t="shared" si="0"/>
        <v/>
      </c>
    </row>
    <row r="19" spans="2:36" ht="18" x14ac:dyDescent="0.2">
      <c r="B19" s="62"/>
      <c r="C19" s="88" t="s">
        <v>88</v>
      </c>
      <c r="D19" s="102"/>
      <c r="E19" s="103"/>
      <c r="F19" s="103"/>
      <c r="G19" s="103"/>
      <c r="H19" s="104"/>
      <c r="I19" s="21"/>
      <c r="J19" s="21">
        <v>26</v>
      </c>
      <c r="K19" s="21">
        <v>27</v>
      </c>
      <c r="L19" s="21">
        <v>28</v>
      </c>
      <c r="M19" s="21">
        <v>29</v>
      </c>
      <c r="N19" s="21">
        <v>30</v>
      </c>
      <c r="O19" s="21"/>
      <c r="P19" s="21"/>
      <c r="Q19" s="21"/>
      <c r="R19" s="66"/>
      <c r="T19" s="21"/>
      <c r="U19" s="21"/>
      <c r="AE19">
        <v>6</v>
      </c>
      <c r="AF19" s="15" t="str">
        <f t="shared" si="0"/>
        <v/>
      </c>
      <c r="AG19" s="15" t="str">
        <f t="shared" si="0"/>
        <v/>
      </c>
      <c r="AH19" s="15" t="str">
        <f t="shared" si="0"/>
        <v/>
      </c>
      <c r="AI19" s="15" t="str">
        <f t="shared" si="0"/>
        <v/>
      </c>
      <c r="AJ19" s="15" t="str">
        <f t="shared" si="0"/>
        <v/>
      </c>
    </row>
    <row r="20" spans="2:36" ht="18.75" thickBot="1" x14ac:dyDescent="0.25">
      <c r="B20" s="62"/>
      <c r="C20" s="105" t="s">
        <v>89</v>
      </c>
      <c r="D20" s="122"/>
      <c r="E20" s="123"/>
      <c r="F20" s="123"/>
      <c r="G20" s="123"/>
      <c r="H20" s="124"/>
      <c r="I20" s="21"/>
      <c r="J20" s="21">
        <v>31</v>
      </c>
      <c r="K20" s="21">
        <v>32</v>
      </c>
      <c r="L20" s="21">
        <v>33</v>
      </c>
      <c r="M20" s="21">
        <v>34</v>
      </c>
      <c r="N20" s="21">
        <v>35</v>
      </c>
      <c r="O20" s="21"/>
      <c r="P20" s="21"/>
      <c r="Q20" s="21"/>
      <c r="R20" s="66"/>
      <c r="T20" s="16"/>
      <c r="AE20">
        <v>7</v>
      </c>
      <c r="AF20" s="15" t="str">
        <f t="shared" si="0"/>
        <v/>
      </c>
      <c r="AG20" s="15" t="str">
        <f t="shared" si="0"/>
        <v/>
      </c>
      <c r="AH20" s="15" t="str">
        <f t="shared" si="0"/>
        <v/>
      </c>
      <c r="AI20" s="15" t="str">
        <f t="shared" si="0"/>
        <v/>
      </c>
      <c r="AJ20" s="15" t="str">
        <f t="shared" si="0"/>
        <v/>
      </c>
    </row>
    <row r="21" spans="2:36" ht="15" customHeight="1" thickBot="1" x14ac:dyDescent="0.25">
      <c r="B21" s="67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9"/>
      <c r="T21" s="16"/>
    </row>
    <row r="22" spans="2:36" s="55" customFormat="1" ht="99.95" customHeight="1" x14ac:dyDescent="0.2">
      <c r="B22" s="85" t="s">
        <v>106</v>
      </c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7"/>
      <c r="T22" s="56"/>
    </row>
    <row r="23" spans="2:36" ht="15" x14ac:dyDescent="0.2">
      <c r="B23" s="16"/>
      <c r="C23" s="16"/>
      <c r="D23" s="9"/>
      <c r="E23" s="9"/>
      <c r="F23" s="9"/>
      <c r="G23" s="9"/>
      <c r="H23" s="9"/>
      <c r="L23" s="16"/>
      <c r="M23" s="16"/>
      <c r="N23" s="16"/>
      <c r="O23" s="16"/>
      <c r="P23" s="16"/>
      <c r="Q23" s="16"/>
      <c r="R23" s="16"/>
      <c r="S23" s="57"/>
      <c r="T23" s="16"/>
    </row>
    <row r="24" spans="2:36" ht="15" x14ac:dyDescent="0.2">
      <c r="C24" s="16"/>
      <c r="S24" s="57"/>
      <c r="T24" s="16"/>
    </row>
    <row r="25" spans="2:36" ht="32.25" customHeight="1" x14ac:dyDescent="0.2">
      <c r="D25" s="16" t="e">
        <f>E6/E5</f>
        <v>#DIV/0!</v>
      </c>
      <c r="E25" s="16"/>
      <c r="F25" s="16"/>
      <c r="G25" s="16"/>
      <c r="H25" s="16"/>
      <c r="I25" s="16"/>
      <c r="J25" s="16"/>
      <c r="K25" s="16"/>
      <c r="S25" s="57"/>
      <c r="T25" s="16">
        <f>IF((COUNT(D14:H20))&gt;1,0,0)</f>
        <v>0</v>
      </c>
      <c r="U25" s="4">
        <f>IF((COUNT(D14:H20))&gt;1,N5*5,0)</f>
        <v>0</v>
      </c>
    </row>
    <row r="26" spans="2:36" ht="15" x14ac:dyDescent="0.2">
      <c r="D26">
        <v>5</v>
      </c>
      <c r="S26" s="57"/>
      <c r="T26" s="16" t="str">
        <f>IF((COUNT(D14:H20))&gt;1,AA30,"")</f>
        <v/>
      </c>
      <c r="U26" s="4" t="str">
        <f>IF((COUNT(D14:H20))&gt;1,AA30,"")</f>
        <v/>
      </c>
    </row>
    <row r="27" spans="2:36" ht="15" x14ac:dyDescent="0.2">
      <c r="C27" s="16" t="s">
        <v>65</v>
      </c>
      <c r="D27">
        <v>5</v>
      </c>
      <c r="S27" s="57"/>
      <c r="T27" s="16"/>
    </row>
    <row r="28" spans="2:36" ht="15" x14ac:dyDescent="0.2">
      <c r="C28" t="s">
        <v>1</v>
      </c>
      <c r="D28">
        <f>D26*D27</f>
        <v>25</v>
      </c>
      <c r="H28" t="s">
        <v>64</v>
      </c>
      <c r="S28" s="57"/>
      <c r="T28" s="16"/>
      <c r="Z28" t="s">
        <v>0</v>
      </c>
      <c r="AA28">
        <f>COUNT(D14:H20)</f>
        <v>0</v>
      </c>
    </row>
    <row r="29" spans="2:36" ht="15" x14ac:dyDescent="0.25">
      <c r="C29" t="s">
        <v>5</v>
      </c>
      <c r="D29">
        <f>D28/D27</f>
        <v>5</v>
      </c>
      <c r="S29" s="57" t="s">
        <v>37</v>
      </c>
      <c r="T29" s="16" t="s">
        <v>51</v>
      </c>
      <c r="U29" t="s">
        <v>5</v>
      </c>
      <c r="V29" t="s">
        <v>17</v>
      </c>
      <c r="W29" s="2" t="s">
        <v>6</v>
      </c>
      <c r="X29" t="s">
        <v>7</v>
      </c>
      <c r="Y29" t="s">
        <v>2</v>
      </c>
      <c r="Z29" t="s">
        <v>1</v>
      </c>
      <c r="AA29">
        <f>SUM(Y30:Y36)</f>
        <v>0</v>
      </c>
    </row>
    <row r="30" spans="2:36" ht="15" x14ac:dyDescent="0.2">
      <c r="C30" t="s">
        <v>0</v>
      </c>
      <c r="D30">
        <v>1</v>
      </c>
      <c r="S30" s="57" t="str">
        <f>IF((COUNT(D14:H14))&lt;2,"",STDEV(D14:H14))</f>
        <v/>
      </c>
      <c r="T30" s="16" t="str">
        <f>IF((COUNT(S30))=1,S30^2,"")</f>
        <v/>
      </c>
      <c r="U30" t="str">
        <f>IF((COUNT(D14:H14))&gt;0,COUNT(D14:H14),"")</f>
        <v/>
      </c>
      <c r="V30" t="str">
        <f>IF((COUNT(U30))=1,U30^2,"")</f>
        <v/>
      </c>
      <c r="W30" t="str">
        <f>IF((COUNT(D14:H14))&gt;0,AVERAGE(D14:H14),"")</f>
        <v/>
      </c>
      <c r="X30" t="str">
        <f t="shared" ref="X30:X36" si="1">IF((COUNT(D14:H14))&gt;0,(W30-$AA$30)^2*U30,"")</f>
        <v/>
      </c>
      <c r="Y30" t="str">
        <f>IF((COUNT(D14:H14))&gt;1,1,"")</f>
        <v/>
      </c>
      <c r="Z30" t="s">
        <v>3</v>
      </c>
      <c r="AA30" s="1" t="e">
        <f>AVERAGE(D14:H20)</f>
        <v>#DIV/0!</v>
      </c>
    </row>
    <row r="31" spans="2:36" ht="15" x14ac:dyDescent="0.2">
      <c r="C31" t="s">
        <v>19</v>
      </c>
      <c r="D31">
        <v>1</v>
      </c>
      <c r="S31" s="57" t="str">
        <f>IF((COUNT(D15:H15))&lt;2,"",STDEV(D15:H15))</f>
        <v/>
      </c>
      <c r="T31" s="16" t="str">
        <f t="shared" ref="T31:T36" si="2">IF((COUNT(S31))=1,S31^2,"")</f>
        <v/>
      </c>
      <c r="U31" t="str">
        <f>IF((COUNT(D15:H15))&gt;0,COUNT(D15:H15),"")</f>
        <v/>
      </c>
      <c r="V31" t="str">
        <f t="shared" ref="V31:V36" si="3">IF((COUNT(U31))=1,U31^2,"")</f>
        <v/>
      </c>
      <c r="W31" t="str">
        <f>IF((COUNT(D15:H15))&gt;0,AVERAGE(D15:H15),"")</f>
        <v/>
      </c>
      <c r="X31" t="str">
        <f t="shared" si="1"/>
        <v/>
      </c>
      <c r="Y31" t="str">
        <f>IF((COUNT(D15:H15))&gt;1,1,"")</f>
        <v/>
      </c>
      <c r="Z31" s="11" t="s">
        <v>61</v>
      </c>
      <c r="AA31" s="11">
        <f>MIN(D14:H20)</f>
        <v>0</v>
      </c>
    </row>
    <row r="32" spans="2:36" ht="15" x14ac:dyDescent="0.2">
      <c r="C32" t="s">
        <v>3</v>
      </c>
      <c r="D32" t="e">
        <f>D25*D31</f>
        <v>#DIV/0!</v>
      </c>
      <c r="S32" s="57" t="str">
        <f>IF((COUNT(D16:H16))&lt;2,"",STDEV(D16:H16))</f>
        <v/>
      </c>
      <c r="T32" s="16" t="str">
        <f t="shared" si="2"/>
        <v/>
      </c>
      <c r="U32" t="str">
        <f>IF((COUNT(D16:H16))&gt;0,COUNT(D16:H16),"")</f>
        <v/>
      </c>
      <c r="V32" t="str">
        <f t="shared" si="3"/>
        <v/>
      </c>
      <c r="W32" t="str">
        <f>IF((COUNT(D16:H16))&gt;0,AVERAGE(D16:H16),"")</f>
        <v/>
      </c>
      <c r="X32" t="str">
        <f t="shared" si="1"/>
        <v/>
      </c>
      <c r="Y32" t="str">
        <f>IF((COUNT(D16:H16))&gt;1,1,"")</f>
        <v/>
      </c>
      <c r="Z32" s="11" t="s">
        <v>62</v>
      </c>
      <c r="AA32" s="11">
        <f>MAX(D14:H20)</f>
        <v>0</v>
      </c>
      <c r="AB32" s="1"/>
      <c r="AD32" s="1"/>
    </row>
    <row r="33" spans="3:30" ht="18.75" x14ac:dyDescent="0.35">
      <c r="C33" t="s">
        <v>55</v>
      </c>
      <c r="D33">
        <f>(D31*D30/100)^2</f>
        <v>1E-4</v>
      </c>
      <c r="S33" s="57" t="str">
        <f>IF((COUNT(D17:H17))&lt;2,"",STDEV(D17:H17))</f>
        <v/>
      </c>
      <c r="T33" s="16" t="str">
        <f t="shared" si="2"/>
        <v/>
      </c>
      <c r="U33" t="str">
        <f>IF((COUNT(D17:H17))&gt;0,COUNT(D17:H17),"")</f>
        <v/>
      </c>
      <c r="V33" t="str">
        <f t="shared" si="3"/>
        <v/>
      </c>
      <c r="W33" t="str">
        <f>IF((COUNT(D17:H17))&gt;0,AVERAGE(D17:H17),"")</f>
        <v/>
      </c>
      <c r="X33" t="str">
        <f t="shared" si="1"/>
        <v/>
      </c>
      <c r="Y33" t="str">
        <f>IF((COUNT(D17:H17))&gt;1,1,"")</f>
        <v/>
      </c>
      <c r="Z33" t="s">
        <v>10</v>
      </c>
      <c r="AA33">
        <f>SUM(AF14:AJ20)</f>
        <v>0</v>
      </c>
    </row>
    <row r="34" spans="3:30" ht="15" x14ac:dyDescent="0.2">
      <c r="C34" t="s">
        <v>59</v>
      </c>
      <c r="D34" t="e">
        <f>(D32*D30/100)^2</f>
        <v>#DIV/0!</v>
      </c>
      <c r="S34" s="57" t="str">
        <f>IF((COUNT(D18:H18))&lt;2,"",STDEV(D18:H18))</f>
        <v/>
      </c>
      <c r="T34" s="16" t="str">
        <f t="shared" si="2"/>
        <v/>
      </c>
      <c r="U34" t="str">
        <f>IF((COUNT(D18:H18))&gt;0,COUNT(D18:H18),"")</f>
        <v/>
      </c>
      <c r="V34" t="str">
        <f t="shared" si="3"/>
        <v/>
      </c>
      <c r="W34" t="str">
        <f>IF((COUNT(D18:H18))&gt;0,AVERAGE(D18:H18),"")</f>
        <v/>
      </c>
      <c r="X34" t="str">
        <f t="shared" si="1"/>
        <v/>
      </c>
      <c r="Y34" t="str">
        <f>IF((COUNT(D18:H18))&gt;1,1,"")</f>
        <v/>
      </c>
      <c r="Z34" t="s">
        <v>8</v>
      </c>
      <c r="AA34">
        <f>X37</f>
        <v>0</v>
      </c>
    </row>
    <row r="35" spans="3:30" ht="15" x14ac:dyDescent="0.2">
      <c r="C35" t="s">
        <v>56</v>
      </c>
      <c r="D35" t="e">
        <f>D34-D33</f>
        <v>#DIV/0!</v>
      </c>
      <c r="S35" s="57" t="str">
        <f t="shared" ref="S35:S36" si="4">IF((COUNT(D19:H19))&lt;2,"",STDEV(D19:H19))</f>
        <v/>
      </c>
      <c r="T35" s="16" t="str">
        <f t="shared" si="2"/>
        <v/>
      </c>
      <c r="U35" t="str">
        <f t="shared" ref="U35:U36" si="5">IF((COUNT(D19:H19))&gt;0,COUNT(D19:H19),"")</f>
        <v/>
      </c>
      <c r="V35" t="str">
        <f t="shared" si="3"/>
        <v/>
      </c>
      <c r="W35" t="str">
        <f t="shared" ref="W35:W36" si="6">IF((COUNT(D19:H19))&gt;0,AVERAGE(D19:H19),"")</f>
        <v/>
      </c>
      <c r="X35" t="str">
        <f t="shared" si="1"/>
        <v/>
      </c>
      <c r="Y35" t="str">
        <f t="shared" ref="Y35:Y36" si="7">IF((COUNT(D19:H19))&gt;1,1,"")</f>
        <v/>
      </c>
      <c r="Z35" t="s">
        <v>11</v>
      </c>
      <c r="AA35">
        <f>AA33-AA34</f>
        <v>0</v>
      </c>
    </row>
    <row r="36" spans="3:30" ht="18.75" x14ac:dyDescent="0.35">
      <c r="C36" t="s">
        <v>57</v>
      </c>
      <c r="D36" t="e">
        <f>D33+D29*D35</f>
        <v>#DIV/0!</v>
      </c>
      <c r="F36" t="s">
        <v>23</v>
      </c>
      <c r="G36">
        <f>1/D29</f>
        <v>0.2</v>
      </c>
      <c r="J36" t="s">
        <v>60</v>
      </c>
      <c r="K36" s="14" t="e">
        <f>G38/(G39+G40)</f>
        <v>#DIV/0!</v>
      </c>
      <c r="S36" s="57" t="str">
        <f t="shared" si="4"/>
        <v/>
      </c>
      <c r="T36" s="16" t="str">
        <f t="shared" si="2"/>
        <v/>
      </c>
      <c r="U36" t="str">
        <f t="shared" si="5"/>
        <v/>
      </c>
      <c r="V36" t="str">
        <f t="shared" si="3"/>
        <v/>
      </c>
      <c r="W36" t="str">
        <f t="shared" si="6"/>
        <v/>
      </c>
      <c r="X36" t="str">
        <f t="shared" si="1"/>
        <v/>
      </c>
      <c r="Y36" t="str">
        <f t="shared" si="7"/>
        <v/>
      </c>
      <c r="Z36" t="s">
        <v>12</v>
      </c>
      <c r="AA36">
        <f>AA28-1</f>
        <v>-1</v>
      </c>
    </row>
    <row r="37" spans="3:30" ht="15" x14ac:dyDescent="0.2">
      <c r="C37" t="s">
        <v>58</v>
      </c>
      <c r="D37">
        <f>D33</f>
        <v>1E-4</v>
      </c>
      <c r="F37" t="s">
        <v>24</v>
      </c>
      <c r="G37">
        <f>(D29-1)/D29</f>
        <v>0.8</v>
      </c>
      <c r="J37" t="s">
        <v>50</v>
      </c>
      <c r="K37" t="e">
        <f>_xlfn.CHISQ.INV((1-0.05/E8),K36)</f>
        <v>#DIV/0!</v>
      </c>
      <c r="S37" s="57"/>
      <c r="T37" s="16"/>
      <c r="U37" s="3" t="e">
        <f>AVERAGE(U30:U36)</f>
        <v>#DIV/0!</v>
      </c>
      <c r="V37" s="3">
        <f>SUM(V30:V36)</f>
        <v>0</v>
      </c>
      <c r="X37" s="3">
        <f>SUM(X30:X36)</f>
        <v>0</v>
      </c>
      <c r="Y37" s="12">
        <f>SUM(Y30:Y36)</f>
        <v>0</v>
      </c>
      <c r="Z37" t="s">
        <v>13</v>
      </c>
      <c r="AA37">
        <f>AA29-1</f>
        <v>-1</v>
      </c>
    </row>
    <row r="38" spans="3:30" ht="15" x14ac:dyDescent="0.2">
      <c r="C38" t="s">
        <v>15</v>
      </c>
      <c r="D38">
        <f>D26-1</f>
        <v>4</v>
      </c>
      <c r="F38" t="s">
        <v>25</v>
      </c>
      <c r="G38" t="e">
        <f>(G36*D36+G37*D37)^2</f>
        <v>#DIV/0!</v>
      </c>
      <c r="J38" t="s">
        <v>30</v>
      </c>
      <c r="K38" t="e">
        <f>(K37/K36)^0.5</f>
        <v>#DIV/0!</v>
      </c>
      <c r="S38" s="57"/>
      <c r="T38" s="16"/>
      <c r="U38" s="4" t="s">
        <v>20</v>
      </c>
      <c r="V38" s="3" t="s">
        <v>18</v>
      </c>
      <c r="X38" s="3" t="s">
        <v>8</v>
      </c>
      <c r="Y38" s="5" t="s">
        <v>1</v>
      </c>
      <c r="Z38" t="s">
        <v>14</v>
      </c>
      <c r="AA38">
        <f>AA36-AA37</f>
        <v>0</v>
      </c>
    </row>
    <row r="39" spans="3:30" ht="15" x14ac:dyDescent="0.2">
      <c r="C39" t="s">
        <v>16</v>
      </c>
      <c r="D39">
        <f>D28-D26</f>
        <v>20</v>
      </c>
      <c r="F39" t="s">
        <v>26</v>
      </c>
      <c r="G39" t="e">
        <f>(G36*D36)^2/D38</f>
        <v>#DIV/0!</v>
      </c>
      <c r="S39" s="57"/>
      <c r="T39" s="16"/>
      <c r="U39" s="5" t="e">
        <f>VAR(U30:U36)</f>
        <v>#DIV/0!</v>
      </c>
      <c r="X39" s="4" t="s">
        <v>9</v>
      </c>
      <c r="Z39" t="s">
        <v>15</v>
      </c>
      <c r="AA39">
        <f>AA34/AA37</f>
        <v>0</v>
      </c>
    </row>
    <row r="40" spans="3:30" x14ac:dyDescent="0.2">
      <c r="C40" t="s">
        <v>13</v>
      </c>
      <c r="F40" t="s">
        <v>27</v>
      </c>
      <c r="G40">
        <f>(G37*D37)^2/D39</f>
        <v>3.2000000000000003E-10</v>
      </c>
      <c r="U40" s="5" t="s">
        <v>21</v>
      </c>
      <c r="Z40" t="s">
        <v>16</v>
      </c>
      <c r="AA40" t="e">
        <f>AA35/AA38</f>
        <v>#DIV/0!</v>
      </c>
    </row>
    <row r="41" spans="3:30" x14ac:dyDescent="0.2">
      <c r="C41" t="s">
        <v>14</v>
      </c>
      <c r="U41" s="13">
        <f>MAX(U30:U36)</f>
        <v>0</v>
      </c>
      <c r="Z41" t="s">
        <v>19</v>
      </c>
      <c r="AA41" t="e">
        <f>(AA28-V37/AA28)/(AA29-1)</f>
        <v>#DIV/0!</v>
      </c>
    </row>
    <row r="42" spans="3:30" ht="18.75" x14ac:dyDescent="0.35">
      <c r="U42" s="13" t="s">
        <v>5</v>
      </c>
      <c r="Z42" t="s">
        <v>28</v>
      </c>
      <c r="AA42" t="e">
        <f>AA56</f>
        <v>#DIV/0!</v>
      </c>
    </row>
    <row r="43" spans="3:30" ht="18.75" x14ac:dyDescent="0.35">
      <c r="Z43" t="s">
        <v>29</v>
      </c>
      <c r="AA43" t="e">
        <f>1-(0.05/E8)</f>
        <v>#DIV/0!</v>
      </c>
      <c r="AC43" s="6" t="s">
        <v>49</v>
      </c>
      <c r="AD43">
        <f>AA28-AA29</f>
        <v>0</v>
      </c>
    </row>
    <row r="44" spans="3:30" ht="18.75" x14ac:dyDescent="0.35">
      <c r="Z44" t="s">
        <v>30</v>
      </c>
      <c r="AA44" t="e">
        <f>_xlfn.CHISQ.INV(AA43,AA42)</f>
        <v>#DIV/0!</v>
      </c>
      <c r="AC44" s="6" t="s">
        <v>47</v>
      </c>
    </row>
    <row r="45" spans="3:30" ht="18.75" x14ac:dyDescent="0.35">
      <c r="Z45" t="s">
        <v>41</v>
      </c>
      <c r="AA45" t="e">
        <f>AA40</f>
        <v>#DIV/0!</v>
      </c>
      <c r="AC45" s="6" t="s">
        <v>48</v>
      </c>
    </row>
    <row r="46" spans="3:30" ht="18.75" x14ac:dyDescent="0.35">
      <c r="Z46" t="s">
        <v>42</v>
      </c>
      <c r="AA46" t="e">
        <f>(AA39-AA40)/AA41</f>
        <v>#DIV/0!</v>
      </c>
    </row>
    <row r="47" spans="3:30" ht="18.75" x14ac:dyDescent="0.35">
      <c r="Z47" s="6" t="s">
        <v>43</v>
      </c>
      <c r="AA47" s="6" t="e">
        <f>SQRT(AA45)</f>
        <v>#DIV/0!</v>
      </c>
      <c r="AB47" s="7"/>
      <c r="AC47" s="6" t="s">
        <v>46</v>
      </c>
      <c r="AD47" s="7" t="e">
        <f>AA47*100/$AA$30</f>
        <v>#DIV/0!</v>
      </c>
    </row>
    <row r="48" spans="3:30" ht="18.75" x14ac:dyDescent="0.35">
      <c r="Z48" s="6" t="s">
        <v>44</v>
      </c>
      <c r="AA48" s="6" t="e">
        <f>SQRT(AA46)</f>
        <v>#DIV/0!</v>
      </c>
      <c r="AB48" s="7"/>
      <c r="AC48" s="6" t="s">
        <v>47</v>
      </c>
      <c r="AD48" s="7" t="e">
        <f>AA48*100/$AA$30</f>
        <v>#DIV/0!</v>
      </c>
    </row>
    <row r="49" spans="26:30" ht="18.75" x14ac:dyDescent="0.35">
      <c r="Z49" s="6" t="s">
        <v>45</v>
      </c>
      <c r="AA49" s="6" t="e">
        <f>SQRT((AA45+AA46))</f>
        <v>#DIV/0!</v>
      </c>
      <c r="AB49" s="7"/>
      <c r="AC49" s="6" t="s">
        <v>48</v>
      </c>
      <c r="AD49" s="7" t="e">
        <f>AA49*100/$AA$30</f>
        <v>#DIV/0!</v>
      </c>
    </row>
    <row r="50" spans="26:30" x14ac:dyDescent="0.2">
      <c r="Z50" s="10" t="s">
        <v>22</v>
      </c>
      <c r="AA50" s="10"/>
    </row>
    <row r="51" spans="26:30" x14ac:dyDescent="0.2">
      <c r="Z51" s="10" t="s">
        <v>23</v>
      </c>
      <c r="AA51" s="10" t="e">
        <f>1/AA41</f>
        <v>#DIV/0!</v>
      </c>
      <c r="AC51" t="s">
        <v>52</v>
      </c>
      <c r="AD51" t="e">
        <f>_xlfn.CHISQ.INV((1-0.05/E8),AD43)</f>
        <v>#DIV/0!</v>
      </c>
    </row>
    <row r="52" spans="26:30" x14ac:dyDescent="0.2">
      <c r="Z52" s="10" t="s">
        <v>24</v>
      </c>
      <c r="AA52" s="10" t="e">
        <f>(AA41-1)/AA41</f>
        <v>#DIV/0!</v>
      </c>
      <c r="AC52" t="s">
        <v>63</v>
      </c>
      <c r="AD52" t="e">
        <f>AD51^0.5/AD43^0.5</f>
        <v>#DIV/0!</v>
      </c>
    </row>
    <row r="53" spans="26:30" x14ac:dyDescent="0.2">
      <c r="Z53" s="10" t="s">
        <v>25</v>
      </c>
      <c r="AA53" s="10" t="e">
        <f>(AA51*AA39+AA52*AA40)^2</f>
        <v>#DIV/0!</v>
      </c>
    </row>
    <row r="54" spans="26:30" x14ac:dyDescent="0.2">
      <c r="Z54" s="10" t="s">
        <v>26</v>
      </c>
      <c r="AA54" s="10" t="e">
        <f>(AA51*AA39)^2/AA37</f>
        <v>#DIV/0!</v>
      </c>
      <c r="AC54" t="s">
        <v>54</v>
      </c>
      <c r="AD54" t="e">
        <f>_xlfn.CHISQ.INV((1-0.05/E8),AA56)</f>
        <v>#DIV/0!</v>
      </c>
    </row>
    <row r="55" spans="26:30" x14ac:dyDescent="0.2">
      <c r="Z55" s="10" t="s">
        <v>27</v>
      </c>
      <c r="AA55" s="10" t="e">
        <f>(AA52*AA40)^2/AA38</f>
        <v>#DIV/0!</v>
      </c>
      <c r="AC55" t="s">
        <v>53</v>
      </c>
      <c r="AD55" t="e">
        <f>AD54^0.5/AA56^0.5</f>
        <v>#DIV/0!</v>
      </c>
    </row>
    <row r="56" spans="26:30" x14ac:dyDescent="0.2">
      <c r="Z56" s="10" t="s">
        <v>22</v>
      </c>
      <c r="AA56" s="10" t="e">
        <f>AA53/(AA54+AA55)</f>
        <v>#DIV/0!</v>
      </c>
    </row>
  </sheetData>
  <sheetProtection algorithmName="SHA-512" hashValue="A5msGDMVutiKiIaeVnK6uD2rvM/HZ3FDu4y6qsYHDjkGKdI0BrSVKoOse4DZjEXcVQyxq5EyfxS0Uy2IZjreYA==" saltValue="VkD2qoHPOsWfeUHx4CIDWA==" spinCount="100000" sheet="1" objects="1" scenarios="1" selectLockedCells="1"/>
  <mergeCells count="6">
    <mergeCell ref="H3:I3"/>
    <mergeCell ref="D7:E7"/>
    <mergeCell ref="G8:K9"/>
    <mergeCell ref="B11:H12"/>
    <mergeCell ref="O6:R8"/>
    <mergeCell ref="O4:R5"/>
  </mergeCells>
  <conditionalFormatting sqref="K5:K6">
    <cfRule type="containsText" dxfId="4" priority="1" operator="containsText" text="FAIL">
      <formula>NOT(ISERROR(SEARCH("FAIL",K5)))</formula>
    </cfRule>
    <cfRule type="containsText" dxfId="3" priority="5" operator="containsText" text="FAIL">
      <formula>NOT(ISERROR(SEARCH("FAIL",K5)))</formula>
    </cfRule>
  </conditionalFormatting>
  <conditionalFormatting sqref="G8:K9">
    <cfRule type="containsText" dxfId="2" priority="3" operator="containsText" text="The study design is correct; the estimates are reliable">
      <formula>NOT(ISERROR(SEARCH("The study design is correct; the estimates are reliable",G8)))</formula>
    </cfRule>
  </conditionalFormatting>
  <dataValidations count="2">
    <dataValidation type="list" allowBlank="1" showInputMessage="1" showErrorMessage="1" sqref="E8" xr:uid="{00000000-0002-0000-0000-000000000000}">
      <formula1>$X$9:$X$14</formula1>
    </dataValidation>
    <dataValidation type="list" allowBlank="1" showInputMessage="1" showErrorMessage="1" error="_x000a_" sqref="E9" xr:uid="{00000000-0002-0000-0000-000001000000}">
      <formula1>$X$8:$X$12</formula1>
    </dataValidation>
  </dataValidations>
  <pageMargins left="0.25" right="0.25" top="0.75" bottom="0.75" header="0.3" footer="0.3"/>
  <pageSetup paperSize="9" orientation="landscape" r:id="rId1"/>
  <ignoredErrors>
    <ignoredError sqref="J6" formulaRange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R25"/>
  <sheetViews>
    <sheetView topLeftCell="B1" zoomScale="110" zoomScaleNormal="110" workbookViewId="0">
      <pane xSplit="14" ySplit="11" topLeftCell="P14" activePane="bottomRight" state="frozen"/>
      <selection activeCell="B1" sqref="B1"/>
      <selection pane="topRight" activeCell="P1" sqref="P1"/>
      <selection pane="bottomLeft" activeCell="B12" sqref="B12"/>
      <selection pane="bottomRight" activeCell="J6" sqref="J6"/>
    </sheetView>
  </sheetViews>
  <sheetFormatPr defaultRowHeight="14.25" x14ac:dyDescent="0.2"/>
  <cols>
    <col min="1" max="1" width="19.25" customWidth="1"/>
    <col min="2" max="2" width="12.25" style="39" customWidth="1"/>
    <col min="4" max="8" width="10.75" customWidth="1"/>
    <col min="9" max="9" width="3.875" style="39" customWidth="1"/>
    <col min="10" max="10" width="16.375" customWidth="1"/>
    <col min="11" max="11" width="12.125" customWidth="1"/>
    <col min="12" max="12" width="4.75" customWidth="1"/>
    <col min="13" max="14" width="12.125" customWidth="1"/>
    <col min="15" max="15" width="200.75" style="39" customWidth="1"/>
    <col min="16" max="16" width="9.75" customWidth="1"/>
  </cols>
  <sheetData>
    <row r="1" spans="1:18" s="39" customFormat="1" ht="32.25" customHeight="1" x14ac:dyDescent="0.4">
      <c r="E1" s="40" t="s">
        <v>77</v>
      </c>
    </row>
    <row r="2" spans="1:18" s="39" customFormat="1" ht="8.25" customHeight="1" thickBot="1" x14ac:dyDescent="0.25"/>
    <row r="3" spans="1:18" ht="19.5" customHeight="1" thickBot="1" x14ac:dyDescent="0.25">
      <c r="A3" s="8"/>
      <c r="C3" s="39"/>
      <c r="D3" s="45" t="s">
        <v>66</v>
      </c>
      <c r="E3" s="46" t="s">
        <v>67</v>
      </c>
      <c r="F3" s="46" t="s">
        <v>68</v>
      </c>
      <c r="G3" s="46" t="s">
        <v>69</v>
      </c>
      <c r="H3" s="38" t="s">
        <v>70</v>
      </c>
      <c r="J3" s="39"/>
      <c r="K3" s="39"/>
      <c r="L3" s="39"/>
      <c r="M3" s="39"/>
      <c r="N3" s="39"/>
      <c r="P3" s="8"/>
    </row>
    <row r="4" spans="1:18" ht="20.100000000000001" customHeight="1" x14ac:dyDescent="0.3">
      <c r="A4" s="8"/>
      <c r="C4" s="18" t="s">
        <v>83</v>
      </c>
      <c r="D4" s="44" t="str">
        <f>IF((COUNT(Verification!D14))&lt;1,"",(IF(Verification!D14&lt;$R$18,"Outlier",(IF(Verification!D14&gt;$R$19,"Outlier","OK")))))</f>
        <v/>
      </c>
      <c r="E4" s="44" t="str">
        <f>IF((COUNT(Verification!E14))&lt;1,"",(IF(Verification!E14&lt;$R$18,"Outlier",(IF(Verification!E14&gt;$R$19,"Outlier","OK")))))</f>
        <v/>
      </c>
      <c r="F4" s="44" t="str">
        <f>IF((COUNT(Verification!F14))&lt;1,"",(IF(Verification!F14&lt;$R$18,"Outlier",(IF(Verification!F14&gt;$R$19,"Outlier","OK")))))</f>
        <v/>
      </c>
      <c r="G4" s="44" t="str">
        <f>IF((COUNT(Verification!G14))&lt;1,"",(IF(Verification!G14&lt;$R$18,"Outlier",(IF(Verification!G14&gt;$R$19,"Outlier","OK")))))</f>
        <v/>
      </c>
      <c r="H4" s="44" t="str">
        <f>IF((COUNT(Verification!H14))&lt;1,"",(IF(Verification!H14&lt;$R$18,"Outlier",(IF(Verification!H14&gt;$R$19,"Outlier","OK")))))</f>
        <v/>
      </c>
      <c r="J4" s="81" t="s">
        <v>3</v>
      </c>
      <c r="K4" s="49" t="str">
        <f>Verification!N7</f>
        <v/>
      </c>
      <c r="L4" s="39"/>
      <c r="M4" s="144" t="s">
        <v>80</v>
      </c>
      <c r="N4" s="145"/>
      <c r="O4" s="41"/>
      <c r="P4" s="8"/>
    </row>
    <row r="5" spans="1:18" ht="20.100000000000001" customHeight="1" x14ac:dyDescent="0.2">
      <c r="A5" s="8"/>
      <c r="C5" s="19" t="s">
        <v>84</v>
      </c>
      <c r="D5" s="43" t="str">
        <f>IF((COUNT(Verification!D15))&lt;1,"",(IF(Verification!D15&lt;$R$18,"Outlier",(IF(Verification!D15&gt;$R$19,"Outlier","OK")))))</f>
        <v/>
      </c>
      <c r="E5" s="43" t="str">
        <f>IF((COUNT(Verification!E15))&lt;1,"",(IF(Verification!E15&lt;$R$18,"Outlier",(IF(Verification!E15&gt;$R$19,"Outlier","OK")))))</f>
        <v/>
      </c>
      <c r="F5" s="43" t="str">
        <f>IF((COUNT(Verification!F15))&lt;1,"",(IF(Verification!F15&lt;$R$18,"Outlier",(IF(Verification!F15&gt;$R$19,"Outlier","OK")))))</f>
        <v/>
      </c>
      <c r="G5" s="43" t="str">
        <f>IF((COUNT(Verification!G15))&lt;1,"",(IF(Verification!G15&lt;$R$18,"Outlier",(IF(Verification!G15&gt;$R$19,"Outlier","OK")))))</f>
        <v/>
      </c>
      <c r="H5" s="43" t="str">
        <f>IF((COUNT(Verification!H15))&lt;1,"",(IF(Verification!H15&lt;$R$18,"Outlier",(IF(Verification!H15&gt;$R$19,"Outlier","OK")))))</f>
        <v/>
      </c>
      <c r="J5" s="82" t="s">
        <v>61</v>
      </c>
      <c r="K5" s="26" t="str">
        <f>Verification!N8</f>
        <v/>
      </c>
      <c r="L5" s="42"/>
      <c r="M5" s="82" t="s">
        <v>39</v>
      </c>
      <c r="N5" s="26" t="e">
        <f>IF(R5&gt;0,ROUND(R18,R5-1),ROUND(R18,0))</f>
        <v>#DIV/0!</v>
      </c>
      <c r="O5" s="41"/>
      <c r="P5" s="8"/>
      <c r="Q5" t="s">
        <v>79</v>
      </c>
      <c r="R5">
        <f>Verification!E9</f>
        <v>0</v>
      </c>
    </row>
    <row r="6" spans="1:18" ht="20.100000000000001" customHeight="1" thickBot="1" x14ac:dyDescent="0.25">
      <c r="A6" s="8"/>
      <c r="C6" s="19" t="s">
        <v>85</v>
      </c>
      <c r="D6" s="43" t="str">
        <f>IF((COUNT(Verification!D16))&lt;1,"",(IF(Verification!D16&lt;$R$18,"Outlier",(IF(Verification!D16&gt;$R$19,"Outlier","OK")))))</f>
        <v/>
      </c>
      <c r="E6" s="43" t="str">
        <f>IF((COUNT(Verification!E16))&lt;1,"",(IF(Verification!E16&lt;$R$18,"Outlier",(IF(Verification!E16&gt;$R$19,"Outlier","OK")))))</f>
        <v/>
      </c>
      <c r="F6" s="43" t="str">
        <f>IF((COUNT(Verification!F16))&lt;1,"",(IF(Verification!F16&lt;$R$18,"Outlier",(IF(Verification!F16&gt;$R$19,"Outlier","OK")))))</f>
        <v/>
      </c>
      <c r="G6" s="43" t="str">
        <f>IF((COUNT(Verification!G16))&lt;1,"",(IF(Verification!G16&lt;$R$18,"Outlier",(IF(Verification!G16&gt;$R$19,"Outlier","OK")))))</f>
        <v/>
      </c>
      <c r="H6" s="43" t="str">
        <f>IF((COUNT(Verification!H16))&lt;1,"",(IF(Verification!H16&lt;$R$18,"Outlier",(IF(Verification!H16&gt;$R$19,"Outlier","OK")))))</f>
        <v/>
      </c>
      <c r="J6" s="83" t="s">
        <v>62</v>
      </c>
      <c r="K6" s="51" t="str">
        <f>Verification!N9</f>
        <v/>
      </c>
      <c r="L6" s="42"/>
      <c r="M6" s="83" t="s">
        <v>78</v>
      </c>
      <c r="N6" s="51" t="e">
        <f>IF(R5&gt;0,ROUND(R19,R5-1),ROUND(R19,0))</f>
        <v>#DIV/0!</v>
      </c>
      <c r="O6" s="41"/>
      <c r="P6" s="8"/>
    </row>
    <row r="7" spans="1:18" ht="20.100000000000001" customHeight="1" thickBot="1" x14ac:dyDescent="0.25">
      <c r="A7" s="8"/>
      <c r="C7" s="19" t="s">
        <v>86</v>
      </c>
      <c r="D7" s="43" t="str">
        <f>IF((COUNT(Verification!D17))&lt;1,"",(IF(Verification!D17&lt;$R$18,"Outlier",(IF(Verification!D17&gt;$R$19,"Outlier","OK")))))</f>
        <v/>
      </c>
      <c r="E7" s="43" t="str">
        <f>IF((COUNT(Verification!E17))&lt;1,"",(IF(Verification!E17&lt;$R$18,"Outlier",(IF(Verification!E17&gt;$R$19,"Outlier","OK")))))</f>
        <v/>
      </c>
      <c r="F7" s="43" t="str">
        <f>IF((COUNT(Verification!F17))&lt;1,"",(IF(Verification!F17&lt;$R$18,"Outlier",(IF(Verification!F17&gt;$R$19,"Outlier","OK")))))</f>
        <v/>
      </c>
      <c r="G7" s="43" t="str">
        <f>IF((COUNT(Verification!G17))&lt;1,"",(IF(Verification!G17&lt;$R$18,"Outlier",(IF(Verification!G17&gt;$R$19,"Outlier","OK")))))</f>
        <v/>
      </c>
      <c r="H7" s="43" t="str">
        <f>IF((COUNT(Verification!H17))&lt;1,"",(IF(Verification!H17&lt;$R$18,"Outlier",(IF(Verification!H17&gt;$R$19,"Outlier","OK")))))</f>
        <v/>
      </c>
      <c r="J7" s="39"/>
      <c r="K7" s="39"/>
      <c r="L7" s="39"/>
      <c r="M7" s="39"/>
      <c r="N7" s="39"/>
      <c r="O7" s="41"/>
      <c r="P7" s="8"/>
      <c r="Q7" t="s">
        <v>31</v>
      </c>
      <c r="R7">
        <v>0.01</v>
      </c>
    </row>
    <row r="8" spans="1:18" ht="20.100000000000001" customHeight="1" x14ac:dyDescent="0.2">
      <c r="A8" s="8"/>
      <c r="C8" s="19" t="s">
        <v>87</v>
      </c>
      <c r="D8" s="43" t="str">
        <f>IF((COUNT(Verification!D18))&lt;1,"",(IF(Verification!D18&lt;$R$18,"Outlier",(IF(Verification!D18&gt;$R$19,"Outlier","OK")))))</f>
        <v/>
      </c>
      <c r="E8" s="43" t="str">
        <f>IF((COUNT(Verification!E18))&lt;1,"",(IF(Verification!E18&lt;$R$18,"Outlier",(IF(Verification!E18&gt;$R$19,"Outlier","OK")))))</f>
        <v/>
      </c>
      <c r="F8" s="43" t="str">
        <f>IF((COUNT(Verification!F18))&lt;1,"",(IF(Verification!F18&lt;$R$18,"Outlier",(IF(Verification!F18&gt;$R$19,"Outlier","OK")))))</f>
        <v/>
      </c>
      <c r="G8" s="43" t="str">
        <f>IF((COUNT(Verification!G18))&lt;1,"",(IF(Verification!G18&lt;$R$18,"Outlier",(IF(Verification!G18&gt;$R$19,"Outlier","OK")))))</f>
        <v/>
      </c>
      <c r="H8" s="43" t="str">
        <f>IF((COUNT(Verification!H18))&lt;1,"",(IF(Verification!H18&lt;$R$18,"Outlier",(IF(Verification!H18&gt;$R$19,"Outlier","OK")))))</f>
        <v/>
      </c>
      <c r="J8" s="72" t="s">
        <v>107</v>
      </c>
      <c r="K8" s="52"/>
      <c r="L8" s="52"/>
      <c r="M8" s="52"/>
      <c r="N8" s="53"/>
      <c r="O8" s="41"/>
      <c r="P8" s="8"/>
      <c r="Q8" t="s">
        <v>32</v>
      </c>
      <c r="R8">
        <f>Verification!AA28</f>
        <v>0</v>
      </c>
    </row>
    <row r="9" spans="1:18" ht="20.100000000000001" customHeight="1" x14ac:dyDescent="0.2">
      <c r="A9" s="8"/>
      <c r="C9" s="19" t="s">
        <v>88</v>
      </c>
      <c r="D9" s="43" t="str">
        <f>IF((COUNT(Verification!D19))&lt;1,"",(IF(Verification!D19&lt;$R$18,"Outlier",(IF(Verification!D19&gt;$R$19,"Outlier","OK")))))</f>
        <v/>
      </c>
      <c r="E9" s="43" t="str">
        <f>IF((COUNT(Verification!E19))&lt;1,"",(IF(Verification!E19&lt;$R$18,"Outlier",(IF(Verification!E19&gt;$R$19,"Outlier","OK")))))</f>
        <v/>
      </c>
      <c r="F9" s="43" t="str">
        <f>IF((COUNT(Verification!F19))&lt;1,"",(IF(Verification!F19&lt;$R$18,"Outlier",(IF(Verification!F19&gt;$R$19,"Outlier","OK")))))</f>
        <v/>
      </c>
      <c r="G9" s="43" t="str">
        <f>IF((COUNT(Verification!G19))&lt;1,"",(IF(Verification!G19&lt;$R$18,"Outlier",(IF(Verification!G19&gt;$R$19,"Outlier","OK")))))</f>
        <v/>
      </c>
      <c r="H9" s="43" t="str">
        <f>IF((COUNT(Verification!H19))&lt;1,"",(IF(Verification!H19&lt;$R$18,"Outlier",(IF(Verification!H19&gt;$R$19,"Outlier","OK")))))</f>
        <v/>
      </c>
      <c r="J9" s="146" t="s">
        <v>116</v>
      </c>
      <c r="K9" s="147"/>
      <c r="L9" s="147"/>
      <c r="M9" s="147"/>
      <c r="N9" s="148"/>
      <c r="O9" s="41"/>
      <c r="P9" s="8"/>
      <c r="Q9" t="s">
        <v>33</v>
      </c>
      <c r="R9" t="e">
        <f>R7/(R8*2)</f>
        <v>#DIV/0!</v>
      </c>
    </row>
    <row r="10" spans="1:18" ht="20.100000000000001" customHeight="1" thickBot="1" x14ac:dyDescent="0.25">
      <c r="A10" s="8"/>
      <c r="C10" s="20" t="s">
        <v>89</v>
      </c>
      <c r="D10" s="43" t="str">
        <f>IF((COUNT(Verification!D20))&lt;1,"",(IF(Verification!D20&lt;$R$18,"Outlier",(IF(Verification!D20&gt;$R$19,"Outlier","OK")))))</f>
        <v/>
      </c>
      <c r="E10" s="43" t="str">
        <f>IF((COUNT(Verification!E20))&lt;1,"",(IF(Verification!E20&lt;$R$18,"Outlier",(IF(Verification!E20&gt;$R$19,"Outlier","OK")))))</f>
        <v/>
      </c>
      <c r="F10" s="43" t="str">
        <f>IF((COUNT(Verification!F20))&lt;1,"",(IF(Verification!F20&lt;$R$18,"Outlier",(IF(Verification!F20&gt;$R$19,"Outlier","OK")))))</f>
        <v/>
      </c>
      <c r="G10" s="43" t="str">
        <f>IF((COUNT(Verification!G20))&lt;1,"",(IF(Verification!G20&lt;$R$18,"Outlier",(IF(Verification!G20&gt;$R$19,"Outlier","OK")))))</f>
        <v/>
      </c>
      <c r="H10" s="43" t="str">
        <f>IF((COUNT(Verification!H20))&lt;1,"",(IF(Verification!H20&lt;$R$18,"Outlier",(IF(Verification!H20&gt;$R$19,"Outlier","OK")))))</f>
        <v/>
      </c>
      <c r="J10" s="149" t="s">
        <v>117</v>
      </c>
      <c r="K10" s="150"/>
      <c r="L10" s="150"/>
      <c r="M10" s="150"/>
      <c r="N10" s="151"/>
      <c r="O10" s="41"/>
      <c r="P10" s="8"/>
      <c r="Q10" t="s">
        <v>34</v>
      </c>
      <c r="R10">
        <f>R8-2</f>
        <v>-2</v>
      </c>
    </row>
    <row r="11" spans="1:18" s="39" customFormat="1" ht="200.1" customHeight="1" x14ac:dyDescent="0.2">
      <c r="Q11" s="39" t="s">
        <v>35</v>
      </c>
      <c r="R11" s="39" t="e">
        <f>_xlfn.T.INV(1-R9,R10)</f>
        <v>#DIV/0!</v>
      </c>
    </row>
    <row r="12" spans="1:18" s="39" customFormat="1" ht="15" customHeight="1" x14ac:dyDescent="0.2">
      <c r="Q12" s="47" t="s">
        <v>36</v>
      </c>
      <c r="R12" s="48" t="e">
        <f>(R8-1)*R11/SQRT(R8*(R10+R11^2))</f>
        <v>#DIV/0!</v>
      </c>
    </row>
    <row r="13" spans="1:18" s="39" customFormat="1" ht="15" customHeight="1" x14ac:dyDescent="0.2"/>
    <row r="14" spans="1:18" s="39" customFormat="1" ht="15" customHeight="1" x14ac:dyDescent="0.2">
      <c r="Q14" s="39" t="s">
        <v>3</v>
      </c>
      <c r="R14" s="39" t="e">
        <f>AVERAGE(Verification!D14:H20)</f>
        <v>#DIV/0!</v>
      </c>
    </row>
    <row r="15" spans="1:18" s="39" customFormat="1" ht="67.5" customHeight="1" x14ac:dyDescent="0.2">
      <c r="Q15" s="39" t="s">
        <v>37</v>
      </c>
      <c r="R15" s="39" t="e">
        <f>STDEV(Verification!D14:H20)</f>
        <v>#DIV/0!</v>
      </c>
    </row>
    <row r="16" spans="1:18" x14ac:dyDescent="0.2">
      <c r="Q16" t="s">
        <v>38</v>
      </c>
      <c r="R16" t="e">
        <f>R15*100/R14</f>
        <v>#DIV/0!</v>
      </c>
    </row>
    <row r="17" spans="4:18" x14ac:dyDescent="0.2">
      <c r="R17" t="e">
        <f>R12*R15</f>
        <v>#DIV/0!</v>
      </c>
    </row>
    <row r="18" spans="4:18" x14ac:dyDescent="0.2">
      <c r="Q18" t="s">
        <v>39</v>
      </c>
      <c r="R18" t="e">
        <f>R14-R17</f>
        <v>#DIV/0!</v>
      </c>
    </row>
    <row r="19" spans="4:18" x14ac:dyDescent="0.2">
      <c r="Q19" t="s">
        <v>40</v>
      </c>
      <c r="R19" t="e">
        <f>R14+R17</f>
        <v>#DIV/0!</v>
      </c>
    </row>
    <row r="20" spans="4:18" x14ac:dyDescent="0.2">
      <c r="Q20" s="11" t="s">
        <v>61</v>
      </c>
      <c r="R20" s="11">
        <f>Verification!AA31</f>
        <v>0</v>
      </c>
    </row>
    <row r="21" spans="4:18" x14ac:dyDescent="0.2">
      <c r="Q21" s="11" t="s">
        <v>62</v>
      </c>
      <c r="R21" s="11">
        <f>Verification!AA32</f>
        <v>0</v>
      </c>
    </row>
    <row r="25" spans="4:18" x14ac:dyDescent="0.2">
      <c r="D25" s="8"/>
      <c r="E25" s="8"/>
      <c r="F25" s="8"/>
      <c r="G25" s="8"/>
      <c r="H25" s="8"/>
      <c r="J25" s="8"/>
      <c r="K25" s="8"/>
      <c r="L25" s="8"/>
      <c r="M25" s="8"/>
      <c r="N25" s="8"/>
    </row>
  </sheetData>
  <sheetProtection algorithmName="SHA-512" hashValue="jhTHohk79tXzKllHEWyI4+uB8kOPbM0JARlOMvAhZl6gm0LSNPAZybDCkUsZN8n3rfHlMIZovC1fa5AXPEqu5w==" saltValue="zVR899Owa5GuFBWtWRV+Lg==" spinCount="100000" sheet="1" objects="1" scenarios="1" selectLockedCells="1"/>
  <mergeCells count="3">
    <mergeCell ref="M4:N4"/>
    <mergeCell ref="J9:N9"/>
    <mergeCell ref="J10:N10"/>
  </mergeCells>
  <conditionalFormatting sqref="D4:H10">
    <cfRule type="containsText" dxfId="1" priority="1" operator="containsText" text="Outlier">
      <formula>NOT(ISERROR(SEARCH("Outlier",D4)))</formula>
    </cfRule>
    <cfRule type="containsText" dxfId="0" priority="2" operator="containsText" text="Outlier">
      <formula>NOT(ISERROR(SEARCH("Outlier",D4)))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C20"/>
  <sheetViews>
    <sheetView zoomScale="90" zoomScaleNormal="90" workbookViewId="0">
      <pane xSplit="2" ySplit="19" topLeftCell="C20" activePane="bottomRight" state="frozen"/>
      <selection pane="topRight" activeCell="C1" sqref="C1"/>
      <selection pane="bottomLeft" activeCell="A20" sqref="A20"/>
      <selection pane="bottomRight" activeCell="C3" sqref="C3"/>
    </sheetView>
  </sheetViews>
  <sheetFormatPr defaultRowHeight="14.25" x14ac:dyDescent="0.2"/>
  <cols>
    <col min="1" max="1" width="86.25" customWidth="1"/>
    <col min="2" max="2" width="250.75" customWidth="1"/>
  </cols>
  <sheetData>
    <row r="1" spans="1:3" ht="22.5" customHeight="1" x14ac:dyDescent="0.3">
      <c r="A1" s="84" t="s">
        <v>115</v>
      </c>
      <c r="B1" s="71"/>
      <c r="C1" s="71"/>
    </row>
    <row r="2" spans="1:3" ht="18" x14ac:dyDescent="0.25">
      <c r="A2" s="71" t="s">
        <v>102</v>
      </c>
      <c r="B2" s="71"/>
      <c r="C2" s="71"/>
    </row>
    <row r="3" spans="1:3" ht="21" x14ac:dyDescent="0.25">
      <c r="A3" s="70" t="s">
        <v>95</v>
      </c>
      <c r="B3" s="71"/>
      <c r="C3" s="71"/>
    </row>
    <row r="4" spans="1:3" ht="21" x14ac:dyDescent="0.25">
      <c r="A4" s="70" t="s">
        <v>94</v>
      </c>
      <c r="B4" s="71"/>
      <c r="C4" s="71"/>
    </row>
    <row r="5" spans="1:3" ht="18" x14ac:dyDescent="0.25">
      <c r="A5" s="70" t="s">
        <v>92</v>
      </c>
      <c r="B5" s="71"/>
      <c r="C5" s="71"/>
    </row>
    <row r="6" spans="1:3" ht="18" x14ac:dyDescent="0.25">
      <c r="A6" s="70" t="s">
        <v>114</v>
      </c>
      <c r="B6" s="71"/>
      <c r="C6" s="71"/>
    </row>
    <row r="7" spans="1:3" ht="18" x14ac:dyDescent="0.25">
      <c r="A7" s="70" t="s">
        <v>110</v>
      </c>
      <c r="B7" s="71"/>
      <c r="C7" s="71"/>
    </row>
    <row r="8" spans="1:3" ht="21" x14ac:dyDescent="0.25">
      <c r="A8" s="70" t="s">
        <v>96</v>
      </c>
      <c r="B8" s="71"/>
      <c r="C8" s="71"/>
    </row>
    <row r="9" spans="1:3" ht="21" x14ac:dyDescent="0.25">
      <c r="A9" s="70" t="s">
        <v>97</v>
      </c>
      <c r="B9" s="71"/>
      <c r="C9" s="71"/>
    </row>
    <row r="10" spans="1:3" ht="21" x14ac:dyDescent="0.25">
      <c r="A10" s="70" t="s">
        <v>98</v>
      </c>
      <c r="B10" s="71"/>
      <c r="C10" s="71"/>
    </row>
    <row r="11" spans="1:3" ht="18" x14ac:dyDescent="0.25">
      <c r="A11" s="70" t="s">
        <v>99</v>
      </c>
      <c r="B11" s="71"/>
      <c r="C11" s="71"/>
    </row>
    <row r="12" spans="1:3" ht="18" x14ac:dyDescent="0.25">
      <c r="A12" s="70" t="s">
        <v>100</v>
      </c>
      <c r="B12" s="71"/>
      <c r="C12" s="71"/>
    </row>
    <row r="13" spans="1:3" ht="18" x14ac:dyDescent="0.25">
      <c r="A13" s="70" t="s">
        <v>91</v>
      </c>
      <c r="B13" s="71"/>
      <c r="C13" s="71"/>
    </row>
    <row r="14" spans="1:3" ht="18" x14ac:dyDescent="0.25">
      <c r="A14" s="70" t="s">
        <v>93</v>
      </c>
      <c r="B14" s="71"/>
      <c r="C14" s="71"/>
    </row>
    <row r="15" spans="1:3" ht="18" x14ac:dyDescent="0.25">
      <c r="A15" s="70" t="s">
        <v>103</v>
      </c>
      <c r="B15" s="71"/>
      <c r="C15" s="71"/>
    </row>
    <row r="16" spans="1:3" ht="18" x14ac:dyDescent="0.25">
      <c r="A16" s="70" t="s">
        <v>104</v>
      </c>
      <c r="B16" s="71"/>
      <c r="C16" s="71"/>
    </row>
    <row r="17" spans="1:3" ht="18" x14ac:dyDescent="0.25">
      <c r="A17" s="70" t="s">
        <v>105</v>
      </c>
      <c r="B17" s="71"/>
      <c r="C17" s="71"/>
    </row>
    <row r="18" spans="1:3" ht="9.9499999999999993" customHeight="1" x14ac:dyDescent="0.25">
      <c r="A18" s="71"/>
      <c r="B18" s="71"/>
      <c r="C18" s="71"/>
    </row>
    <row r="19" spans="1:3" ht="399.95" customHeight="1" x14ac:dyDescent="0.25">
      <c r="A19" s="71"/>
      <c r="B19" s="71"/>
      <c r="C19" s="71"/>
    </row>
    <row r="20" spans="1:3" ht="18" x14ac:dyDescent="0.25">
      <c r="A20" s="71"/>
      <c r="B20" s="71"/>
      <c r="C20" s="71"/>
    </row>
  </sheetData>
  <sheetProtection algorithmName="SHA-512" hashValue="+2Zu95y497QavSBh+NB4WCYehnLdkKJXmaO2i3Cc/ntPfl9l+/XrWjOaRbVyS/E8UQaA8PzpnSPW0Pb7e82TLg==" saltValue="I3ZorD7AVvaCYriXwD6NoA==" spinCount="100000" sheet="1" objects="1" scenarios="1" selectLockedCells="1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AO26"/>
  <sheetViews>
    <sheetView zoomScale="90" zoomScaleNormal="90" workbookViewId="0">
      <pane xSplit="25" ySplit="19" topLeftCell="AF23" activePane="bottomRight" state="frozen"/>
      <selection pane="topRight" activeCell="Z1" sqref="Z1"/>
      <selection pane="bottomLeft" activeCell="A20" sqref="A20"/>
      <selection pane="bottomRight" activeCell="C4" sqref="C4:G8"/>
    </sheetView>
  </sheetViews>
  <sheetFormatPr defaultRowHeight="14.25" x14ac:dyDescent="0.2"/>
  <cols>
    <col min="1" max="1" width="4.125" customWidth="1"/>
    <col min="2" max="2" width="6.625" customWidth="1"/>
    <col min="8" max="8" width="4.25" customWidth="1"/>
    <col min="9" max="9" width="6.875" customWidth="1"/>
    <col min="15" max="15" width="3.125" customWidth="1"/>
    <col min="16" max="16" width="6.25" customWidth="1"/>
    <col min="25" max="25" width="200.75" customWidth="1"/>
  </cols>
  <sheetData>
    <row r="1" spans="1:41" ht="58.5" customHeight="1" x14ac:dyDescent="0.25">
      <c r="A1" s="106"/>
      <c r="B1" s="107"/>
      <c r="C1" s="109" t="s">
        <v>122</v>
      </c>
      <c r="D1" s="107"/>
      <c r="E1" s="107"/>
      <c r="F1" s="107"/>
      <c r="G1" s="107"/>
      <c r="H1" s="107"/>
      <c r="I1" s="107"/>
      <c r="J1" s="107"/>
      <c r="K1" s="110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6"/>
      <c r="W1" s="106"/>
      <c r="X1" s="106"/>
      <c r="Y1" s="106"/>
      <c r="Z1" s="106"/>
      <c r="AA1" s="106"/>
      <c r="AB1" s="106"/>
      <c r="AC1" s="106"/>
    </row>
    <row r="2" spans="1:41" ht="34.5" customHeight="1" thickBot="1" x14ac:dyDescent="0.35">
      <c r="A2" s="106"/>
      <c r="B2" s="106"/>
      <c r="C2" s="111" t="s">
        <v>119</v>
      </c>
      <c r="D2" s="107"/>
      <c r="E2" s="107"/>
      <c r="F2" s="107"/>
      <c r="G2" s="107"/>
      <c r="H2" s="106"/>
      <c r="I2" s="106"/>
      <c r="J2" s="112" t="s">
        <v>120</v>
      </c>
      <c r="K2" s="107"/>
      <c r="L2" s="107"/>
      <c r="M2" s="107"/>
      <c r="N2" s="107"/>
      <c r="O2" s="106"/>
      <c r="P2" s="106"/>
      <c r="Q2" s="112" t="s">
        <v>121</v>
      </c>
      <c r="R2" s="107"/>
      <c r="S2" s="107"/>
      <c r="T2" s="107"/>
      <c r="U2" s="107"/>
      <c r="V2" s="106"/>
      <c r="W2" s="106"/>
      <c r="X2" s="106"/>
      <c r="Y2" s="106"/>
      <c r="Z2" s="106"/>
      <c r="AA2" s="106"/>
      <c r="AB2" s="106"/>
      <c r="AC2" s="106"/>
    </row>
    <row r="3" spans="1:41" ht="15" thickBot="1" x14ac:dyDescent="0.25">
      <c r="A3" s="106"/>
      <c r="B3" s="108"/>
      <c r="C3" s="97" t="s">
        <v>66</v>
      </c>
      <c r="D3" s="98" t="s">
        <v>67</v>
      </c>
      <c r="E3" s="97" t="s">
        <v>68</v>
      </c>
      <c r="F3" s="98" t="s">
        <v>69</v>
      </c>
      <c r="G3" s="97" t="s">
        <v>70</v>
      </c>
      <c r="H3" s="106"/>
      <c r="I3" s="106"/>
      <c r="J3" s="97" t="s">
        <v>66</v>
      </c>
      <c r="K3" s="98" t="s">
        <v>67</v>
      </c>
      <c r="L3" s="97" t="s">
        <v>68</v>
      </c>
      <c r="M3" s="98" t="s">
        <v>69</v>
      </c>
      <c r="N3" s="97" t="s">
        <v>70</v>
      </c>
      <c r="O3" s="106"/>
      <c r="P3" s="106"/>
      <c r="Q3" s="97" t="s">
        <v>66</v>
      </c>
      <c r="R3" s="98" t="s">
        <v>67</v>
      </c>
      <c r="S3" s="97" t="s">
        <v>68</v>
      </c>
      <c r="T3" s="98" t="s">
        <v>69</v>
      </c>
      <c r="U3" s="97" t="s">
        <v>70</v>
      </c>
      <c r="V3" s="106"/>
      <c r="W3" s="106"/>
      <c r="X3" s="106"/>
      <c r="Y3" s="106"/>
      <c r="Z3" s="106"/>
      <c r="AA3" s="106"/>
      <c r="AB3" s="106"/>
      <c r="AC3" s="106"/>
    </row>
    <row r="4" spans="1:41" ht="18" x14ac:dyDescent="0.2">
      <c r="A4" s="106"/>
      <c r="B4" s="99" t="s">
        <v>83</v>
      </c>
      <c r="C4" s="102">
        <v>26.6</v>
      </c>
      <c r="D4" s="103">
        <v>25.2</v>
      </c>
      <c r="E4" s="103">
        <v>30.2</v>
      </c>
      <c r="F4" s="103">
        <v>27.6</v>
      </c>
      <c r="G4" s="104">
        <v>25.6</v>
      </c>
      <c r="H4" s="106"/>
      <c r="I4" s="99" t="s">
        <v>83</v>
      </c>
      <c r="J4" s="34">
        <v>140</v>
      </c>
      <c r="K4" s="35">
        <v>139</v>
      </c>
      <c r="L4" s="35">
        <v>138</v>
      </c>
      <c r="M4" s="35">
        <v>138</v>
      </c>
      <c r="N4" s="36">
        <v>140</v>
      </c>
      <c r="O4" s="106"/>
      <c r="P4" s="99" t="s">
        <v>83</v>
      </c>
      <c r="Q4" s="34">
        <v>606</v>
      </c>
      <c r="R4" s="35">
        <v>627</v>
      </c>
      <c r="S4" s="35">
        <v>621</v>
      </c>
      <c r="T4" s="35">
        <v>606</v>
      </c>
      <c r="U4" s="36">
        <v>620</v>
      </c>
      <c r="V4" s="106"/>
      <c r="W4" s="106"/>
      <c r="X4" s="106"/>
      <c r="Y4" s="106"/>
      <c r="Z4" s="106"/>
      <c r="AA4" s="106"/>
      <c r="AB4" s="106"/>
      <c r="AC4" s="106"/>
    </row>
    <row r="5" spans="1:41" ht="18" x14ac:dyDescent="0.2">
      <c r="A5" s="106"/>
      <c r="B5" s="100" t="s">
        <v>84</v>
      </c>
      <c r="C5" s="102">
        <v>24.3</v>
      </c>
      <c r="D5" s="103">
        <v>25.7</v>
      </c>
      <c r="E5" s="103">
        <v>23.8</v>
      </c>
      <c r="F5" s="103">
        <v>25.3</v>
      </c>
      <c r="G5" s="104">
        <v>24.1</v>
      </c>
      <c r="H5" s="106"/>
      <c r="I5" s="100" t="s">
        <v>84</v>
      </c>
      <c r="J5" s="34">
        <v>140</v>
      </c>
      <c r="K5" s="35">
        <v>143</v>
      </c>
      <c r="L5" s="35">
        <v>141</v>
      </c>
      <c r="M5" s="35">
        <v>143</v>
      </c>
      <c r="N5" s="36">
        <v>137</v>
      </c>
      <c r="O5" s="106"/>
      <c r="P5" s="100" t="s">
        <v>84</v>
      </c>
      <c r="Q5" s="34">
        <v>612</v>
      </c>
      <c r="R5" s="35">
        <v>610</v>
      </c>
      <c r="S5" s="35">
        <v>611</v>
      </c>
      <c r="T5" s="35">
        <v>595</v>
      </c>
      <c r="U5" s="36">
        <v>630</v>
      </c>
      <c r="V5" s="106"/>
      <c r="W5" s="106"/>
      <c r="X5" s="106"/>
      <c r="Y5" s="106"/>
      <c r="Z5" s="106"/>
      <c r="AA5" s="106"/>
      <c r="AB5" s="106"/>
      <c r="AC5" s="106"/>
    </row>
    <row r="6" spans="1:41" ht="18" x14ac:dyDescent="0.2">
      <c r="A6" s="106"/>
      <c r="B6" s="100" t="s">
        <v>85</v>
      </c>
      <c r="C6" s="102">
        <v>26.1</v>
      </c>
      <c r="D6" s="103">
        <v>24</v>
      </c>
      <c r="E6" s="103">
        <v>25.4</v>
      </c>
      <c r="F6" s="103">
        <v>26</v>
      </c>
      <c r="G6" s="104">
        <v>24.3</v>
      </c>
      <c r="H6" s="106"/>
      <c r="I6" s="100" t="s">
        <v>85</v>
      </c>
      <c r="J6" s="34">
        <v>140</v>
      </c>
      <c r="K6" s="35">
        <v>138</v>
      </c>
      <c r="L6" s="35">
        <v>136</v>
      </c>
      <c r="M6" s="35">
        <v>141</v>
      </c>
      <c r="N6" s="36">
        <v>136</v>
      </c>
      <c r="O6" s="106"/>
      <c r="P6" s="100" t="s">
        <v>85</v>
      </c>
      <c r="Q6" s="34">
        <v>649</v>
      </c>
      <c r="R6" s="35">
        <v>626</v>
      </c>
      <c r="S6" s="35">
        <v>636</v>
      </c>
      <c r="T6" s="35">
        <v>639</v>
      </c>
      <c r="U6" s="36">
        <v>648</v>
      </c>
      <c r="V6" s="106"/>
      <c r="W6" s="106"/>
      <c r="X6" s="106"/>
      <c r="Y6" s="106"/>
      <c r="Z6" s="106"/>
      <c r="AA6" s="106"/>
      <c r="AB6" s="106"/>
      <c r="AC6" s="106"/>
    </row>
    <row r="7" spans="1:41" ht="18" x14ac:dyDescent="0.2">
      <c r="A7" s="106"/>
      <c r="B7" s="100" t="s">
        <v>86</v>
      </c>
      <c r="C7" s="102">
        <v>26.5</v>
      </c>
      <c r="D7" s="103">
        <v>27.1</v>
      </c>
      <c r="E7" s="103">
        <v>25.9</v>
      </c>
      <c r="F7" s="103">
        <v>25.5</v>
      </c>
      <c r="G7" s="104">
        <v>25.5</v>
      </c>
      <c r="H7" s="106"/>
      <c r="I7" s="100" t="s">
        <v>86</v>
      </c>
      <c r="J7" s="34">
        <v>141</v>
      </c>
      <c r="K7" s="35">
        <v>144</v>
      </c>
      <c r="L7" s="35">
        <v>142</v>
      </c>
      <c r="M7" s="35">
        <v>143</v>
      </c>
      <c r="N7" s="36">
        <v>144</v>
      </c>
      <c r="O7" s="106"/>
      <c r="P7" s="100" t="s">
        <v>86</v>
      </c>
      <c r="Q7" s="34">
        <v>615</v>
      </c>
      <c r="R7" s="35">
        <v>633</v>
      </c>
      <c r="S7" s="35">
        <v>605</v>
      </c>
      <c r="T7" s="35">
        <v>616</v>
      </c>
      <c r="U7" s="36">
        <v>625</v>
      </c>
      <c r="V7" s="106"/>
      <c r="W7" s="106"/>
      <c r="X7" s="106"/>
      <c r="Y7" s="106"/>
      <c r="Z7" s="106"/>
      <c r="AA7" s="106"/>
      <c r="AB7" s="106"/>
      <c r="AC7" s="106"/>
    </row>
    <row r="8" spans="1:41" ht="18.75" thickBot="1" x14ac:dyDescent="0.25">
      <c r="A8" s="106"/>
      <c r="B8" s="101" t="s">
        <v>87</v>
      </c>
      <c r="C8" s="102">
        <v>24.5</v>
      </c>
      <c r="D8" s="103">
        <v>26.4</v>
      </c>
      <c r="E8" s="103">
        <v>25.8</v>
      </c>
      <c r="F8" s="103">
        <v>26</v>
      </c>
      <c r="G8" s="104">
        <v>25.1</v>
      </c>
      <c r="H8" s="106"/>
      <c r="I8" s="101" t="s">
        <v>87</v>
      </c>
      <c r="J8" s="34">
        <v>139</v>
      </c>
      <c r="K8" s="35">
        <v>140</v>
      </c>
      <c r="L8" s="35">
        <v>141</v>
      </c>
      <c r="M8" s="35">
        <v>138</v>
      </c>
      <c r="N8" s="36">
        <v>141</v>
      </c>
      <c r="O8" s="106"/>
      <c r="P8" s="101" t="s">
        <v>87</v>
      </c>
      <c r="Q8" s="34">
        <v>622</v>
      </c>
      <c r="R8" s="35">
        <v>632</v>
      </c>
      <c r="S8" s="35">
        <v>646</v>
      </c>
      <c r="T8" s="35">
        <v>619</v>
      </c>
      <c r="U8" s="36">
        <v>623</v>
      </c>
      <c r="V8" s="106"/>
      <c r="W8" s="106"/>
      <c r="X8" s="106"/>
      <c r="Y8" s="106"/>
      <c r="Z8" s="106"/>
      <c r="AA8" s="106"/>
      <c r="AB8" s="106"/>
      <c r="AC8" s="106"/>
    </row>
    <row r="9" spans="1:41" ht="15" thickBot="1" x14ac:dyDescent="0.25">
      <c r="A9" s="106"/>
      <c r="B9" s="108"/>
      <c r="C9" s="107"/>
      <c r="D9" s="106"/>
      <c r="E9" s="107"/>
      <c r="F9" s="106"/>
      <c r="G9" s="107"/>
      <c r="H9" s="106"/>
      <c r="I9" s="107"/>
      <c r="J9" s="106"/>
      <c r="K9" s="107"/>
      <c r="L9" s="106"/>
      <c r="M9" s="107"/>
      <c r="N9" s="106"/>
      <c r="O9" s="107"/>
      <c r="P9" s="106"/>
      <c r="Q9" s="107"/>
      <c r="R9" s="106"/>
      <c r="S9" s="107"/>
      <c r="T9" s="106"/>
      <c r="U9" s="107"/>
      <c r="V9" s="106"/>
      <c r="W9" s="106"/>
      <c r="X9" s="106"/>
      <c r="Y9" s="106"/>
      <c r="Z9" s="106"/>
      <c r="AA9" s="106"/>
      <c r="AB9" s="106"/>
      <c r="AC9" s="106"/>
      <c r="AD9" s="106"/>
      <c r="AE9" s="107"/>
      <c r="AF9" s="106"/>
      <c r="AG9" s="107"/>
      <c r="AH9" s="106"/>
      <c r="AI9" s="107"/>
      <c r="AJ9" s="106"/>
      <c r="AK9" s="107"/>
      <c r="AL9" s="106"/>
      <c r="AM9" s="107"/>
      <c r="AN9" s="106"/>
      <c r="AO9" s="107"/>
    </row>
    <row r="10" spans="1:41" ht="18" x14ac:dyDescent="0.2">
      <c r="A10" s="106"/>
      <c r="B10" s="108"/>
      <c r="C10" s="116" t="s">
        <v>124</v>
      </c>
      <c r="D10" s="117">
        <v>3.3</v>
      </c>
      <c r="E10" s="106"/>
      <c r="F10" s="106"/>
      <c r="G10" s="106"/>
      <c r="H10" s="106"/>
      <c r="I10" s="106"/>
      <c r="J10" s="116" t="s">
        <v>124</v>
      </c>
      <c r="K10" s="117">
        <v>1.7</v>
      </c>
      <c r="L10" s="106"/>
      <c r="M10" s="106"/>
      <c r="N10" s="106"/>
      <c r="O10" s="106"/>
      <c r="P10" s="106"/>
      <c r="Q10" s="116" t="s">
        <v>124</v>
      </c>
      <c r="R10" s="117">
        <v>1.7</v>
      </c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106"/>
      <c r="AN10" s="106"/>
      <c r="AO10" s="106"/>
    </row>
    <row r="11" spans="1:41" ht="18.75" thickBot="1" x14ac:dyDescent="0.25">
      <c r="A11" s="106"/>
      <c r="B11" s="108"/>
      <c r="C11" s="118" t="s">
        <v>125</v>
      </c>
      <c r="D11" s="119">
        <v>5.3</v>
      </c>
      <c r="E11" s="108"/>
      <c r="F11" s="106"/>
      <c r="G11" s="108"/>
      <c r="H11" s="106"/>
      <c r="I11" s="108"/>
      <c r="J11" s="118" t="s">
        <v>125</v>
      </c>
      <c r="K11" s="119">
        <v>2.9</v>
      </c>
      <c r="L11" s="106"/>
      <c r="M11" s="108"/>
      <c r="N11" s="106"/>
      <c r="O11" s="108"/>
      <c r="P11" s="106"/>
      <c r="Q11" s="118" t="s">
        <v>125</v>
      </c>
      <c r="R11" s="119">
        <v>2.75</v>
      </c>
      <c r="S11" s="108"/>
      <c r="T11" s="106"/>
      <c r="U11" s="108"/>
      <c r="V11" s="106"/>
      <c r="W11" s="106"/>
      <c r="X11" s="106"/>
      <c r="Y11" s="106"/>
      <c r="Z11" s="106"/>
      <c r="AA11" s="106"/>
      <c r="AB11" s="106"/>
      <c r="AC11" s="106"/>
      <c r="AD11" s="106"/>
      <c r="AE11" s="108"/>
      <c r="AF11" s="106"/>
      <c r="AG11" s="108"/>
      <c r="AH11" s="106"/>
      <c r="AI11" s="108"/>
      <c r="AJ11" s="106"/>
      <c r="AK11" s="108"/>
      <c r="AL11" s="106"/>
      <c r="AM11" s="108"/>
      <c r="AN11" s="106"/>
      <c r="AO11" s="108"/>
    </row>
    <row r="12" spans="1:41" x14ac:dyDescent="0.2">
      <c r="A12" s="106"/>
      <c r="B12" s="108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7"/>
      <c r="V12" s="106"/>
      <c r="W12" s="107"/>
      <c r="X12" s="106"/>
      <c r="Y12" s="107"/>
      <c r="Z12" s="106"/>
      <c r="AA12" s="107"/>
      <c r="AB12" s="106"/>
      <c r="AC12" s="107"/>
      <c r="AD12" s="106"/>
      <c r="AE12" s="107"/>
      <c r="AF12" s="106"/>
      <c r="AG12" s="107"/>
      <c r="AH12" s="106"/>
      <c r="AI12" s="107"/>
      <c r="AJ12" s="106"/>
      <c r="AK12" s="107"/>
      <c r="AL12" s="106"/>
      <c r="AM12" s="107"/>
      <c r="AN12" s="106"/>
      <c r="AO12" s="107"/>
    </row>
    <row r="13" spans="1:41" x14ac:dyDescent="0.2">
      <c r="A13" s="106"/>
      <c r="B13" s="108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</row>
    <row r="14" spans="1:41" x14ac:dyDescent="0.2">
      <c r="A14" s="106"/>
      <c r="B14" s="108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8"/>
      <c r="V14" s="106"/>
      <c r="W14" s="108"/>
      <c r="X14" s="106"/>
      <c r="Y14" s="108"/>
      <c r="Z14" s="106"/>
      <c r="AA14" s="108"/>
      <c r="AB14" s="106"/>
      <c r="AC14" s="108"/>
      <c r="AD14" s="106"/>
      <c r="AE14" s="108"/>
      <c r="AF14" s="106"/>
      <c r="AG14" s="108"/>
      <c r="AH14" s="106"/>
      <c r="AI14" s="108"/>
      <c r="AJ14" s="106"/>
      <c r="AK14" s="108"/>
      <c r="AL14" s="106"/>
      <c r="AM14" s="108"/>
      <c r="AN14" s="106"/>
      <c r="AO14" s="108"/>
    </row>
    <row r="15" spans="1:41" x14ac:dyDescent="0.2">
      <c r="A15" s="106"/>
      <c r="B15" s="108"/>
      <c r="C15" s="108"/>
      <c r="D15" s="108"/>
      <c r="E15" s="107"/>
      <c r="F15" s="106"/>
      <c r="G15" s="107"/>
      <c r="H15" s="106"/>
      <c r="I15" s="107"/>
      <c r="J15" s="106"/>
      <c r="K15" s="107"/>
      <c r="L15" s="106"/>
      <c r="M15" s="107"/>
      <c r="N15" s="106"/>
      <c r="O15" s="107"/>
      <c r="P15" s="106"/>
      <c r="Q15" s="107"/>
      <c r="R15" s="106"/>
      <c r="S15" s="107"/>
      <c r="T15" s="106"/>
      <c r="U15" s="107"/>
      <c r="V15" s="106"/>
      <c r="W15" s="107"/>
      <c r="X15" s="106"/>
      <c r="Y15" s="107"/>
      <c r="Z15" s="106"/>
      <c r="AA15" s="107"/>
      <c r="AB15" s="106"/>
      <c r="AC15" s="107"/>
      <c r="AD15" s="106"/>
      <c r="AE15" s="107"/>
      <c r="AF15" s="106"/>
      <c r="AG15" s="107"/>
      <c r="AH15" s="106"/>
      <c r="AI15" s="107"/>
      <c r="AJ15" s="106"/>
      <c r="AK15" s="107"/>
      <c r="AL15" s="106"/>
      <c r="AM15" s="107"/>
      <c r="AN15" s="106"/>
      <c r="AO15" s="107"/>
    </row>
    <row r="16" spans="1:41" x14ac:dyDescent="0.2">
      <c r="A16" s="106"/>
      <c r="B16" s="108"/>
      <c r="C16" s="108"/>
      <c r="D16" s="108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</row>
    <row r="17" spans="1:41" x14ac:dyDescent="0.2">
      <c r="A17" s="106"/>
      <c r="B17" s="106"/>
      <c r="C17" s="108"/>
      <c r="D17" s="106"/>
      <c r="E17" s="108"/>
      <c r="F17" s="106"/>
      <c r="G17" s="108"/>
      <c r="H17" s="106"/>
      <c r="I17" s="108"/>
      <c r="J17" s="106"/>
      <c r="K17" s="108"/>
      <c r="L17" s="106"/>
      <c r="M17" s="108"/>
      <c r="N17" s="106"/>
      <c r="O17" s="108"/>
      <c r="P17" s="106"/>
      <c r="Q17" s="108"/>
      <c r="R17" s="106"/>
      <c r="S17" s="108"/>
      <c r="T17" s="106"/>
      <c r="U17" s="108"/>
      <c r="V17" s="106"/>
      <c r="W17" s="108"/>
      <c r="X17" s="106"/>
      <c r="Y17" s="108"/>
      <c r="Z17" s="106"/>
      <c r="AA17" s="108"/>
      <c r="AB17" s="106"/>
      <c r="AC17" s="108"/>
      <c r="AD17" s="106"/>
      <c r="AE17" s="108"/>
      <c r="AF17" s="106"/>
      <c r="AG17" s="108"/>
      <c r="AH17" s="106"/>
      <c r="AI17" s="108"/>
      <c r="AJ17" s="106"/>
      <c r="AK17" s="108"/>
      <c r="AL17" s="106"/>
      <c r="AM17" s="108"/>
      <c r="AN17" s="106"/>
      <c r="AO17" s="108"/>
    </row>
    <row r="18" spans="1:41" x14ac:dyDescent="0.2">
      <c r="A18" s="106"/>
      <c r="B18" s="106"/>
      <c r="C18" s="107"/>
      <c r="D18" s="106"/>
      <c r="E18" s="107"/>
      <c r="F18" s="106"/>
      <c r="G18" s="107"/>
      <c r="H18" s="106"/>
      <c r="I18" s="107"/>
      <c r="J18" s="106"/>
      <c r="K18" s="107"/>
      <c r="L18" s="106"/>
      <c r="M18" s="107"/>
      <c r="N18" s="106"/>
      <c r="O18" s="107"/>
      <c r="P18" s="106"/>
      <c r="Q18" s="107"/>
      <c r="R18" s="106"/>
      <c r="S18" s="107"/>
      <c r="T18" s="106"/>
      <c r="U18" s="107"/>
      <c r="V18" s="106"/>
      <c r="W18" s="107"/>
      <c r="X18" s="106"/>
      <c r="Y18" s="107"/>
      <c r="Z18" s="106"/>
      <c r="AA18" s="107"/>
      <c r="AB18" s="106"/>
      <c r="AC18" s="107"/>
      <c r="AD18" s="106"/>
      <c r="AE18" s="107"/>
      <c r="AF18" s="106"/>
      <c r="AG18" s="107"/>
      <c r="AH18" s="106"/>
      <c r="AI18" s="107"/>
      <c r="AJ18" s="106"/>
      <c r="AK18" s="107"/>
      <c r="AL18" s="106"/>
      <c r="AM18" s="107"/>
      <c r="AN18" s="106"/>
      <c r="AO18" s="107"/>
    </row>
    <row r="19" spans="1:41" ht="200.1" customHeight="1" x14ac:dyDescent="0.2">
      <c r="A19" s="106"/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</row>
    <row r="20" spans="1:41" x14ac:dyDescent="0.2">
      <c r="A20" s="106"/>
      <c r="B20" s="106"/>
      <c r="C20" s="108"/>
      <c r="D20" s="106"/>
      <c r="E20" s="108"/>
      <c r="F20" s="106"/>
      <c r="G20" s="108"/>
      <c r="H20" s="106"/>
      <c r="I20" s="108"/>
      <c r="J20" s="106"/>
      <c r="K20" s="108"/>
      <c r="L20" s="106"/>
      <c r="M20" s="108"/>
      <c r="N20" s="106"/>
      <c r="O20" s="108"/>
      <c r="P20" s="106"/>
      <c r="Q20" s="108"/>
      <c r="R20" s="106"/>
      <c r="S20" s="108"/>
      <c r="T20" s="106"/>
      <c r="U20" s="108"/>
      <c r="V20" s="106"/>
      <c r="W20" s="108"/>
      <c r="X20" s="106"/>
      <c r="Y20" s="108"/>
      <c r="Z20" s="106"/>
      <c r="AA20" s="108"/>
      <c r="AB20" s="106"/>
      <c r="AC20" s="108"/>
      <c r="AD20" s="106"/>
      <c r="AE20" s="108"/>
      <c r="AF20" s="106"/>
      <c r="AG20" s="108"/>
      <c r="AH20" s="106"/>
      <c r="AI20" s="108"/>
      <c r="AJ20" s="106"/>
      <c r="AK20" s="108"/>
      <c r="AL20" s="106"/>
      <c r="AM20" s="108"/>
      <c r="AN20" s="106"/>
      <c r="AO20" s="108"/>
    </row>
    <row r="21" spans="1:41" x14ac:dyDescent="0.2">
      <c r="A21" s="106"/>
      <c r="B21" s="106"/>
      <c r="C21" s="107"/>
      <c r="D21" s="106"/>
      <c r="E21" s="107"/>
      <c r="F21" s="106"/>
      <c r="G21" s="107"/>
      <c r="H21" s="106"/>
      <c r="I21" s="107"/>
      <c r="J21" s="106"/>
      <c r="K21" s="107"/>
      <c r="L21" s="106"/>
      <c r="M21" s="107"/>
      <c r="N21" s="106"/>
      <c r="O21" s="107"/>
      <c r="P21" s="106"/>
      <c r="Q21" s="107"/>
      <c r="R21" s="106"/>
      <c r="S21" s="107"/>
      <c r="T21" s="106"/>
      <c r="U21" s="107"/>
      <c r="V21" s="106"/>
      <c r="W21" s="107"/>
      <c r="X21" s="106"/>
      <c r="Y21" s="107"/>
      <c r="Z21" s="106"/>
      <c r="AA21" s="107"/>
      <c r="AB21" s="106"/>
      <c r="AC21" s="107"/>
      <c r="AD21" s="106"/>
      <c r="AE21" s="107"/>
      <c r="AF21" s="106"/>
      <c r="AG21" s="107"/>
      <c r="AH21" s="106"/>
      <c r="AI21" s="107"/>
      <c r="AJ21" s="106"/>
      <c r="AK21" s="107"/>
      <c r="AL21" s="106"/>
      <c r="AM21" s="107"/>
      <c r="AN21" s="106"/>
      <c r="AO21" s="107"/>
    </row>
    <row r="22" spans="1:41" x14ac:dyDescent="0.2">
      <c r="A22" s="106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</row>
    <row r="23" spans="1:41" x14ac:dyDescent="0.2">
      <c r="A23" s="106"/>
      <c r="B23" s="106"/>
      <c r="C23" s="108"/>
      <c r="D23" s="106"/>
      <c r="E23" s="108"/>
      <c r="F23" s="106"/>
      <c r="G23" s="108"/>
      <c r="H23" s="106"/>
      <c r="I23" s="108"/>
      <c r="J23" s="106"/>
      <c r="K23" s="108"/>
      <c r="L23" s="106"/>
      <c r="M23" s="108"/>
      <c r="N23" s="106"/>
      <c r="O23" s="108"/>
      <c r="P23" s="106"/>
      <c r="Q23" s="108"/>
      <c r="R23" s="106"/>
      <c r="S23" s="108"/>
      <c r="T23" s="106"/>
      <c r="U23" s="108"/>
      <c r="V23" s="106"/>
      <c r="W23" s="108"/>
      <c r="X23" s="106"/>
      <c r="Y23" s="108"/>
      <c r="Z23" s="106"/>
      <c r="AA23" s="108"/>
      <c r="AB23" s="106"/>
      <c r="AC23" s="108"/>
      <c r="AD23" s="106"/>
      <c r="AE23" s="108"/>
      <c r="AF23" s="106"/>
      <c r="AG23" s="108"/>
      <c r="AH23" s="106"/>
      <c r="AI23" s="108"/>
      <c r="AJ23" s="106"/>
      <c r="AK23" s="108"/>
      <c r="AL23" s="106"/>
      <c r="AM23" s="108"/>
      <c r="AN23" s="106"/>
      <c r="AO23" s="108"/>
    </row>
    <row r="24" spans="1:41" x14ac:dyDescent="0.2">
      <c r="A24" s="106"/>
      <c r="B24" s="106"/>
      <c r="C24" s="107"/>
      <c r="D24" s="106"/>
      <c r="E24" s="107"/>
      <c r="F24" s="106"/>
      <c r="G24" s="107"/>
      <c r="H24" s="106"/>
      <c r="I24" s="107"/>
      <c r="J24" s="106"/>
      <c r="K24" s="107"/>
      <c r="L24" s="106"/>
      <c r="M24" s="107"/>
      <c r="N24" s="106"/>
      <c r="O24" s="107"/>
      <c r="P24" s="106"/>
      <c r="Q24" s="107"/>
      <c r="R24" s="106"/>
      <c r="S24" s="107"/>
      <c r="T24" s="106"/>
      <c r="U24" s="107"/>
      <c r="V24" s="106"/>
      <c r="W24" s="107"/>
      <c r="X24" s="106"/>
      <c r="Y24" s="107"/>
      <c r="Z24" s="106"/>
      <c r="AA24" s="107"/>
      <c r="AB24" s="106"/>
      <c r="AC24" s="107"/>
      <c r="AD24" s="106"/>
      <c r="AE24" s="107"/>
      <c r="AF24" s="106"/>
      <c r="AG24" s="107"/>
      <c r="AH24" s="106"/>
      <c r="AI24" s="107"/>
      <c r="AJ24" s="106"/>
      <c r="AK24" s="107"/>
      <c r="AL24" s="106"/>
      <c r="AM24" s="107"/>
      <c r="AN24" s="106"/>
      <c r="AO24" s="107"/>
    </row>
    <row r="25" spans="1:41" x14ac:dyDescent="0.2"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</row>
    <row r="26" spans="1:41" x14ac:dyDescent="0.2">
      <c r="B26" s="106"/>
      <c r="C26" s="108"/>
      <c r="D26" s="106"/>
      <c r="E26" s="108"/>
      <c r="F26" s="106"/>
      <c r="G26" s="108"/>
      <c r="H26" s="106"/>
      <c r="I26" s="108"/>
      <c r="J26" s="106"/>
      <c r="K26" s="108"/>
      <c r="L26" s="106"/>
      <c r="M26" s="108"/>
      <c r="N26" s="106"/>
      <c r="O26" s="108"/>
      <c r="P26" s="106"/>
      <c r="Q26" s="108"/>
      <c r="R26" s="106"/>
      <c r="S26" s="108"/>
      <c r="T26" s="106"/>
      <c r="U26" s="108"/>
      <c r="V26" s="106"/>
      <c r="W26" s="108"/>
      <c r="X26" s="106"/>
      <c r="Y26" s="108"/>
      <c r="Z26" s="106"/>
      <c r="AA26" s="108"/>
      <c r="AB26" s="106"/>
      <c r="AC26" s="108"/>
      <c r="AD26" s="106"/>
      <c r="AE26" s="108"/>
      <c r="AF26" s="106"/>
      <c r="AG26" s="108"/>
      <c r="AH26" s="106"/>
      <c r="AI26" s="108"/>
      <c r="AJ26" s="106"/>
      <c r="AK26" s="108"/>
      <c r="AL26" s="106"/>
      <c r="AM26" s="108"/>
      <c r="AN26" s="106"/>
      <c r="AO26" s="108"/>
    </row>
  </sheetData>
  <sheetProtection algorithmName="SHA-512" hashValue="+1YIKGlgn0THepwAagH9unrEmMkn0cbVnc38beK5yDsgqAsvkuhtZxw5muxR55mW7WMQ4wGMOVYVbI/EN7Xddg==" saltValue="1bQ64QumxIA9cVEuWCXdAA==" spinCount="100000" sheet="1" objects="1" scenarios="1" selectLockedCells="1"/>
  <dataValidations count="2">
    <dataValidation type="list" allowBlank="1" showInputMessage="1" showErrorMessage="1" error="_x000a_" sqref="C14" xr:uid="{00000000-0002-0000-0200-000000000000}">
      <formula1>$X$7:$X$11</formula1>
    </dataValidation>
    <dataValidation type="list" allowBlank="1" showInputMessage="1" showErrorMessage="1" sqref="C13" xr:uid="{00000000-0002-0000-0200-000001000000}">
      <formula1>$X$8:$X$13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Verification</vt:lpstr>
      <vt:lpstr>Outlier</vt:lpstr>
      <vt:lpstr>Abbrevations</vt:lpstr>
      <vt:lpstr>Example Data</vt:lpstr>
      <vt:lpstr>Verification!Print_Area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Roja</dc:creator>
  <cp:lastModifiedBy>Hassan Bayat</cp:lastModifiedBy>
  <cp:lastPrinted>2020-01-10T07:09:00Z</cp:lastPrinted>
  <dcterms:created xsi:type="dcterms:W3CDTF">2019-12-30T18:37:34Z</dcterms:created>
  <dcterms:modified xsi:type="dcterms:W3CDTF">2024-09-08T15:36:21Z</dcterms:modified>
</cp:coreProperties>
</file>